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tabRatio="727" activeTab="4"/>
  </bookViews>
  <sheets>
    <sheet name="Parameters" sheetId="1" r:id="rId1"/>
    <sheet name="MediumActivity" sheetId="2" r:id="rId2"/>
    <sheet name="CellSuspension" sheetId="3" r:id="rId3"/>
    <sheet name="CoulterSurvival" sheetId="4" r:id="rId4"/>
    <sheet name="Summary" sheetId="5" r:id="rId5"/>
    <sheet name="Unprotected Summary" sheetId="6" r:id="rId6"/>
  </sheets>
  <definedNames/>
  <calcPr fullCalcOnLoad="1"/>
</workbook>
</file>

<file path=xl/sharedStrings.xml><?xml version="1.0" encoding="utf-8"?>
<sst xmlns="http://schemas.openxmlformats.org/spreadsheetml/2006/main" count="160" uniqueCount="105">
  <si>
    <t>Cells/ml</t>
  </si>
  <si>
    <t>Tube #</t>
  </si>
  <si>
    <t>(CPM)</t>
  </si>
  <si>
    <t xml:space="preserve">2nd </t>
  </si>
  <si>
    <t xml:space="preserve">1st  </t>
  </si>
  <si>
    <t>3rd</t>
  </si>
  <si>
    <t>DPM</t>
  </si>
  <si>
    <t>counting</t>
  </si>
  <si>
    <t>Average</t>
  </si>
  <si>
    <t>CPM</t>
  </si>
  <si>
    <t xml:space="preserve">corrected </t>
  </si>
  <si>
    <t>for control</t>
  </si>
  <si>
    <t>Date/Time:</t>
  </si>
  <si>
    <t>(mBq/cell)</t>
  </si>
  <si>
    <t>SF</t>
  </si>
  <si>
    <t>Experiment No.</t>
  </si>
  <si>
    <t>Investigator</t>
  </si>
  <si>
    <t>Cell Line</t>
  </si>
  <si>
    <t>Radiochemical</t>
  </si>
  <si>
    <t>Manufacturer/Lot</t>
  </si>
  <si>
    <t>Date</t>
  </si>
  <si>
    <t>Radionuclide</t>
  </si>
  <si>
    <t>Half-life (days)</t>
  </si>
  <si>
    <t>Activity Added (Date/Time)</t>
  </si>
  <si>
    <t>Cells Washed (Date/Time)</t>
  </si>
  <si>
    <t>Original Activity Concentration (MBq/ml)</t>
  </si>
  <si>
    <t>Present Activity Concentration (MBq/ml)</t>
  </si>
  <si>
    <t>Original Calibration Date/Time</t>
  </si>
  <si>
    <t>Present Calibration Date/Time</t>
  </si>
  <si>
    <t>Time Elapsed Between Add and Wash (hr)</t>
  </si>
  <si>
    <t>Time Elapsed Between Add and Count (hr)</t>
  </si>
  <si>
    <t>Average Coulter Background Counts</t>
  </si>
  <si>
    <t>Coulter 1</t>
  </si>
  <si>
    <t>Coulter 2</t>
  </si>
  <si>
    <t>Coulter 3</t>
  </si>
  <si>
    <t>Liquid Scintillation Cocktail</t>
  </si>
  <si>
    <t>Model of Counter</t>
  </si>
  <si>
    <t>Counting Efficiency</t>
  </si>
  <si>
    <t>Volume/Type Counting Vial</t>
  </si>
  <si>
    <t>Radiation Yield</t>
  </si>
  <si>
    <t>Medium count</t>
  </si>
  <si>
    <t>CPM/(y e)</t>
  </si>
  <si>
    <t>addition</t>
  </si>
  <si>
    <t>[At/e-0.693t/T]</t>
  </si>
  <si>
    <t>kBq/ml at</t>
  </si>
  <si>
    <t xml:space="preserve">Experiment: </t>
  </si>
  <si>
    <t>Suspension count</t>
  </si>
  <si>
    <t>uptake</t>
  </si>
  <si>
    <t xml:space="preserve">Coulter count </t>
  </si>
  <si>
    <t>Coulter Calibration Parameter</t>
  </si>
  <si>
    <t xml:space="preserve">Colony count </t>
  </si>
  <si>
    <t>Seeded</t>
  </si>
  <si>
    <t>PE (%)</t>
  </si>
  <si>
    <t>Activity Conc.</t>
  </si>
  <si>
    <t>Activity/Cell</t>
  </si>
  <si>
    <t>(kBq/ml)</t>
  </si>
  <si>
    <t>Survival</t>
  </si>
  <si>
    <t>kBq/ml after</t>
  </si>
  <si>
    <r>
      <t>Vol. Supernatant Counted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</si>
  <si>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Counted Cell Activity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</si>
  <si>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Coulter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</si>
  <si>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Coulter Manometer Volume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</si>
  <si>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t>Volume of LSC Cocktail (ml)</t>
  </si>
  <si>
    <t xml:space="preserve">Predicted </t>
  </si>
  <si>
    <t xml:space="preserve"> # Cells</t>
  </si>
  <si>
    <t>Actual</t>
  </si>
  <si>
    <t>Date:</t>
  </si>
  <si>
    <t>Uncorrected</t>
  </si>
  <si>
    <t>Corrected</t>
  </si>
  <si>
    <t>Medium Tubes Counted (Date/Time)</t>
  </si>
  <si>
    <t>Cell Tubes Counted (Date/Time)</t>
  </si>
  <si>
    <t>Time Elapsed Between Wash and Count (hr)</t>
  </si>
  <si>
    <t>I-125=59.408, H-3=4500.45, Po-210=138.376, I-131=8.02</t>
  </si>
  <si>
    <t>I-125=1.47, H-3=1.0, Po-210=1.0, I-131=8.02</t>
  </si>
  <si>
    <t xml:space="preserve">At </t>
  </si>
  <si>
    <t>Ao</t>
  </si>
  <si>
    <r>
      <t>m</t>
    </r>
    <r>
      <rPr>
        <sz val="10"/>
        <color indexed="10"/>
        <rFont val="Arial"/>
        <family val="2"/>
      </rPr>
      <t>Ci/ml on</t>
    </r>
  </si>
  <si>
    <r>
      <t>m</t>
    </r>
    <r>
      <rPr>
        <sz val="10"/>
        <color indexed="10"/>
        <rFont val="Arial"/>
        <family val="2"/>
      </rPr>
      <t>Ci/ml at</t>
    </r>
  </si>
  <si>
    <r>
      <t>A</t>
    </r>
    <r>
      <rPr>
        <vertAlign val="subscript"/>
        <sz val="10"/>
        <color indexed="10"/>
        <rFont val="Arial"/>
        <family val="2"/>
      </rPr>
      <t xml:space="preserve">t </t>
    </r>
  </si>
  <si>
    <r>
      <t>A</t>
    </r>
    <r>
      <rPr>
        <vertAlign val="subscript"/>
        <sz val="10"/>
        <color indexed="10"/>
        <rFont val="Arial"/>
        <family val="2"/>
      </rPr>
      <t>o</t>
    </r>
  </si>
  <si>
    <r>
      <t>m</t>
    </r>
    <r>
      <rPr>
        <sz val="10"/>
        <color indexed="10"/>
        <rFont val="Arial"/>
        <family val="2"/>
      </rPr>
      <t>Ci/ml after</t>
    </r>
  </si>
  <si>
    <t>Modifier</t>
  </si>
  <si>
    <t>Background</t>
  </si>
  <si>
    <t>Fraction of Cells Labeled</t>
  </si>
  <si>
    <t>Hemocytometer Counting (Yes or No)?</t>
  </si>
  <si>
    <t>1st</t>
  </si>
  <si>
    <t>2nd</t>
  </si>
  <si>
    <t>4th</t>
  </si>
  <si>
    <t>Hemocytometer Count in Grid</t>
  </si>
  <si>
    <t>Time Elapsed Since Original Calibration (d)</t>
  </si>
  <si>
    <t>Dec., 26, 2000</t>
  </si>
  <si>
    <t>M.Lenarczyk</t>
  </si>
  <si>
    <t>V79</t>
  </si>
  <si>
    <t>none</t>
  </si>
  <si>
    <t>H-3</t>
  </si>
  <si>
    <t>3HTdR</t>
  </si>
  <si>
    <t>NCN/3106-398</t>
  </si>
  <si>
    <t>EcoLume</t>
  </si>
  <si>
    <t>7/Plastic vial with cup</t>
  </si>
  <si>
    <t>Beckman LS5000TD</t>
  </si>
  <si>
    <t>11/6/00 / 12:00</t>
  </si>
  <si>
    <t>Dec., 26, 2000 / 20:30</t>
  </si>
  <si>
    <t>Dec., 27, 2000 / 9:45</t>
  </si>
  <si>
    <t>Dec., 29, 2000 / 16:20</t>
  </si>
  <si>
    <t>Jan., 3, 20001 / 9:22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</si>
</sst>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00000"/>
    <numFmt numFmtId="177" formatCode="0.000000000000"/>
    <numFmt numFmtId="178" formatCode="m/d/yyyy"/>
    <numFmt numFmtId="179" formatCode="mm/dd/yy"/>
    <numFmt numFmtId="180" formatCode="0_);[Red]\(0\)"/>
    <numFmt numFmtId="181" formatCode="0.E+00"/>
  </numFmts>
  <fonts count="20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2"/>
      <name val="Arial"/>
      <family val="0"/>
    </font>
    <font>
      <sz val="16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b/>
      <sz val="12"/>
      <name val="Arial"/>
      <family val="0"/>
    </font>
    <font>
      <sz val="14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8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2" fontId="12" fillId="0" borderId="0" xfId="0" applyNumberFormat="1" applyFont="1" applyAlignment="1" applyProtection="1">
      <alignment/>
      <protection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22" fontId="0" fillId="0" borderId="3" xfId="0" applyNumberFormat="1" applyBorder="1" applyAlignment="1" applyProtection="1">
      <alignment horizontal="left"/>
      <protection locked="0"/>
    </xf>
    <xf numFmtId="22" fontId="0" fillId="0" borderId="4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2" xfId="0" applyNumberForma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875"/>
          <c:w val="0.875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/>
            </c:numRef>
          </c:xVal>
          <c:yVal>
            <c:numRef>
              <c:f>Summary!$D$13:$D$22</c:f>
              <c:numCache/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/>
            </c:numRef>
          </c:xVal>
          <c:yVal>
            <c:numRef>
              <c:f>Summary!$E$13:$E$22</c:f>
              <c:numCache/>
            </c:numRef>
          </c:yVal>
          <c:smooth val="0"/>
        </c:ser>
        <c:axId val="57096697"/>
        <c:axId val="44108226"/>
      </c:scatterChart>
      <c:valAx>
        <c:axId val="57096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108226"/>
        <c:crossesAt val="0.001"/>
        <c:crossBetween val="midCat"/>
        <c:dispUnits/>
      </c:valAx>
      <c:valAx>
        <c:axId val="4410822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966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14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>
        <c:manualLayout>
          <c:xMode val="factor"/>
          <c:yMode val="factor"/>
          <c:x val="0.11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01"/>
          <c:w val="0.83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/>
            </c:numRef>
          </c:xVal>
          <c:yVal>
            <c:numRef>
              <c:f>Summary!$C$13:$C$22</c:f>
              <c:numCache/>
            </c:numRef>
          </c:yVal>
          <c:smooth val="0"/>
        </c:ser>
        <c:axId val="61429715"/>
        <c:axId val="15996524"/>
      </c:scatterChart>
      <c:valAx>
        <c:axId val="6142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996524"/>
        <c:crosses val="autoZero"/>
        <c:crossBetween val="midCat"/>
        <c:dispUnits/>
      </c:valAx>
      <c:valAx>
        <c:axId val="15996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297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55"/>
          <c:w val="0.8642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1.317401373577075</c:v>
                </c:pt>
                <c:pt idx="3">
                  <c:v>1.6433355026901337</c:v>
                </c:pt>
                <c:pt idx="4">
                  <c:v>2.987997627276745</c:v>
                </c:pt>
                <c:pt idx="5">
                  <c:v>4.369122715808531</c:v>
                </c:pt>
                <c:pt idx="6">
                  <c:v>6.575854657508576</c:v>
                </c:pt>
                <c:pt idx="7">
                  <c:v>5.75707121254921</c:v>
                </c:pt>
                <c:pt idx="8">
                  <c:v>6.71356622404786</c:v>
                </c:pt>
                <c:pt idx="9">
                  <c:v>8.736894220017406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1</c:v>
                </c:pt>
                <c:pt idx="2">
                  <c:v>0.8778467908902692</c:v>
                </c:pt>
                <c:pt idx="3">
                  <c:v>0.7784679089026914</c:v>
                </c:pt>
                <c:pt idx="4">
                  <c:v>0.968944099378882</c:v>
                </c:pt>
                <c:pt idx="5">
                  <c:v>0.2815734989648034</c:v>
                </c:pt>
                <c:pt idx="6">
                  <c:v>0.6418219461697722</c:v>
                </c:pt>
                <c:pt idx="7">
                  <c:v>0</c:v>
                </c:pt>
                <c:pt idx="8">
                  <c:v>0.6004140786749483</c:v>
                </c:pt>
                <c:pt idx="9">
                  <c:v>0.8819875776397516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1.317401373577075</c:v>
                </c:pt>
                <c:pt idx="3">
                  <c:v>1.6433355026901337</c:v>
                </c:pt>
                <c:pt idx="4">
                  <c:v>2.987997627276745</c:v>
                </c:pt>
                <c:pt idx="5">
                  <c:v>4.369122715808531</c:v>
                </c:pt>
                <c:pt idx="6">
                  <c:v>6.575854657508576</c:v>
                </c:pt>
                <c:pt idx="7">
                  <c:v>5.75707121254921</c:v>
                </c:pt>
                <c:pt idx="8">
                  <c:v>6.71356622404786</c:v>
                </c:pt>
                <c:pt idx="9">
                  <c:v>8.736894220017406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1</c:v>
                </c:pt>
                <c:pt idx="2">
                  <c:v>0.8378877558402368</c:v>
                </c:pt>
                <c:pt idx="3">
                  <c:v>0.7873898962717275</c:v>
                </c:pt>
                <c:pt idx="4">
                  <c:v>0.9058894135170896</c:v>
                </c:pt>
                <c:pt idx="5">
                  <c:v>0.30098719155947495</c:v>
                </c:pt>
                <c:pt idx="6">
                  <c:v>0.6226711826152983</c:v>
                </c:pt>
                <c:pt idx="7">
                  <c:v>0</c:v>
                </c:pt>
                <c:pt idx="8">
                  <c:v>0.566618738641423</c:v>
                </c:pt>
                <c:pt idx="9">
                  <c:v>0.8070231555229401</c:v>
                </c:pt>
              </c:numCache>
            </c:numRef>
          </c:yVal>
          <c:smooth val="0"/>
        </c:ser>
        <c:axId val="9750989"/>
        <c:axId val="20650038"/>
      </c:scatterChart>
      <c:valAx>
        <c:axId val="975098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50038"/>
        <c:crossesAt val="0.001"/>
        <c:crossBetween val="midCat"/>
        <c:dispUnits/>
      </c:valAx>
      <c:valAx>
        <c:axId val="2065003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7509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16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104.3336238418038</c:v>
                </c:pt>
                <c:pt idx="3">
                  <c:v>203.55928594057823</c:v>
                </c:pt>
                <c:pt idx="4">
                  <c:v>380.9899967655911</c:v>
                </c:pt>
                <c:pt idx="5">
                  <c:v>586.3343905146015</c:v>
                </c:pt>
                <c:pt idx="6">
                  <c:v>853.0079526897657</c:v>
                </c:pt>
                <c:pt idx="7">
                  <c:v>993.5646741232331</c:v>
                </c:pt>
                <c:pt idx="8">
                  <c:v>1195.0040020518502</c:v>
                </c:pt>
                <c:pt idx="9">
                  <c:v>1561.8949528860287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1.317401373577075</c:v>
                </c:pt>
                <c:pt idx="3">
                  <c:v>1.6433355026901337</c:v>
                </c:pt>
                <c:pt idx="4">
                  <c:v>2.987997627276745</c:v>
                </c:pt>
                <c:pt idx="5">
                  <c:v>4.369122715808531</c:v>
                </c:pt>
                <c:pt idx="6">
                  <c:v>6.575854657508576</c:v>
                </c:pt>
                <c:pt idx="7">
                  <c:v>5.75707121254921</c:v>
                </c:pt>
                <c:pt idx="8">
                  <c:v>6.71356622404786</c:v>
                </c:pt>
                <c:pt idx="9">
                  <c:v>8.736894220017406</c:v>
                </c:pt>
              </c:numCache>
            </c:numRef>
          </c:yVal>
          <c:smooth val="0"/>
        </c:ser>
        <c:axId val="51632615"/>
        <c:axId val="62040352"/>
      </c:scatterChart>
      <c:valAx>
        <c:axId val="51632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2040352"/>
        <c:crosses val="autoZero"/>
        <c:crossBetween val="midCat"/>
        <c:dispUnits/>
      </c:valAx>
      <c:valAx>
        <c:axId val="62040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1632615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12</xdr:col>
      <xdr:colOff>600075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3943350" y="19050"/>
        <a:ext cx="4276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38100</xdr:rowOff>
    </xdr:from>
    <xdr:to>
      <xdr:col>12</xdr:col>
      <xdr:colOff>600075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3971925" y="2952750"/>
        <a:ext cx="4248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19050</xdr:rowOff>
    </xdr:from>
    <xdr:to>
      <xdr:col>11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800475" y="1905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18</xdr:row>
      <xdr:rowOff>114300</xdr:rowOff>
    </xdr:from>
    <xdr:to>
      <xdr:col>11</xdr:col>
      <xdr:colOff>542925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00475" y="3028950"/>
        <a:ext cx="3819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7">
      <selection activeCell="D26" sqref="D26"/>
    </sheetView>
  </sheetViews>
  <sheetFormatPr defaultColWidth="9.140625" defaultRowHeight="12.75"/>
  <cols>
    <col min="1" max="1" width="36.8515625" style="24" customWidth="1"/>
    <col min="2" max="2" width="20.00390625" style="22" customWidth="1"/>
    <col min="3" max="3" width="36.8515625" style="0" customWidth="1"/>
    <col min="4" max="4" width="9.57421875" style="0" bestFit="1" customWidth="1"/>
  </cols>
  <sheetData>
    <row r="1" spans="1:2" ht="12.75">
      <c r="A1" s="24" t="s">
        <v>20</v>
      </c>
      <c r="B1" s="48" t="s">
        <v>90</v>
      </c>
    </row>
    <row r="2" ht="12.75">
      <c r="B2" s="62"/>
    </row>
    <row r="3" spans="1:2" ht="12.75">
      <c r="A3" s="24" t="s">
        <v>15</v>
      </c>
      <c r="B3" s="49" t="s">
        <v>90</v>
      </c>
    </row>
    <row r="4" spans="1:3" ht="12.75">
      <c r="A4" s="24" t="s">
        <v>16</v>
      </c>
      <c r="B4" s="50" t="s">
        <v>91</v>
      </c>
      <c r="C4" s="20"/>
    </row>
    <row r="5" spans="1:2" ht="12.75">
      <c r="A5" s="24" t="s">
        <v>17</v>
      </c>
      <c r="B5" s="50" t="s">
        <v>92</v>
      </c>
    </row>
    <row r="6" spans="1:2" ht="12.75">
      <c r="A6" s="24" t="s">
        <v>81</v>
      </c>
      <c r="B6" s="50" t="s">
        <v>93</v>
      </c>
    </row>
    <row r="7" spans="1:2" ht="12.75">
      <c r="A7" s="24" t="s">
        <v>21</v>
      </c>
      <c r="B7" s="50" t="s">
        <v>94</v>
      </c>
    </row>
    <row r="8" spans="1:3" ht="12.75">
      <c r="A8" s="24" t="s">
        <v>22</v>
      </c>
      <c r="B8" s="50">
        <v>4500.45</v>
      </c>
      <c r="C8" s="20" t="s">
        <v>72</v>
      </c>
    </row>
    <row r="9" spans="1:3" ht="12.75">
      <c r="A9" s="24" t="s">
        <v>39</v>
      </c>
      <c r="B9" s="50">
        <v>1</v>
      </c>
      <c r="C9" s="20" t="s">
        <v>73</v>
      </c>
    </row>
    <row r="10" spans="1:2" ht="12.75">
      <c r="A10" s="24" t="s">
        <v>18</v>
      </c>
      <c r="B10" s="50" t="s">
        <v>95</v>
      </c>
    </row>
    <row r="11" spans="1:2" ht="12.75">
      <c r="A11" s="24" t="s">
        <v>19</v>
      </c>
      <c r="B11" s="50" t="s">
        <v>96</v>
      </c>
    </row>
    <row r="12" spans="1:4" ht="12.75">
      <c r="A12" s="24" t="s">
        <v>27</v>
      </c>
      <c r="B12" s="53" t="s">
        <v>100</v>
      </c>
      <c r="C12" s="20" t="s">
        <v>25</v>
      </c>
      <c r="D12" s="57">
        <v>37</v>
      </c>
    </row>
    <row r="13" spans="1:4" ht="12.75">
      <c r="A13" s="24" t="s">
        <v>28</v>
      </c>
      <c r="B13" s="53" t="s">
        <v>90</v>
      </c>
      <c r="C13" s="20" t="s">
        <v>89</v>
      </c>
      <c r="D13" s="58">
        <v>50</v>
      </c>
    </row>
    <row r="14" spans="1:4" ht="12.75">
      <c r="A14" s="24" t="s">
        <v>83</v>
      </c>
      <c r="B14" s="51">
        <v>0.5</v>
      </c>
      <c r="C14" s="20" t="s">
        <v>26</v>
      </c>
      <c r="D14" s="47">
        <f>$D$12*EXP(-0.693*$D$13/($B$8))</f>
        <v>36.7162223237777</v>
      </c>
    </row>
    <row r="15" ht="12.75">
      <c r="B15" s="62"/>
    </row>
    <row r="16" spans="1:2" ht="12.75">
      <c r="A16" s="24" t="s">
        <v>35</v>
      </c>
      <c r="B16" s="49" t="s">
        <v>97</v>
      </c>
    </row>
    <row r="17" spans="1:2" ht="12.75">
      <c r="A17" s="24" t="s">
        <v>62</v>
      </c>
      <c r="B17" s="50">
        <v>6</v>
      </c>
    </row>
    <row r="18" spans="1:2" ht="12.75">
      <c r="A18" s="24" t="s">
        <v>38</v>
      </c>
      <c r="B18" s="50" t="s">
        <v>98</v>
      </c>
    </row>
    <row r="19" spans="1:2" ht="12.75">
      <c r="A19" s="24" t="s">
        <v>36</v>
      </c>
      <c r="B19" s="50" t="s">
        <v>99</v>
      </c>
    </row>
    <row r="20" spans="1:2" ht="12.75">
      <c r="A20" s="24" t="s">
        <v>37</v>
      </c>
      <c r="B20" s="51">
        <v>0.65</v>
      </c>
    </row>
    <row r="21" ht="12.75">
      <c r="B21" s="62"/>
    </row>
    <row r="22" spans="1:2" ht="12.75">
      <c r="A22" s="24" t="s">
        <v>23</v>
      </c>
      <c r="B22" s="52" t="s">
        <v>101</v>
      </c>
    </row>
    <row r="23" spans="1:4" ht="12.75">
      <c r="A23" s="24" t="s">
        <v>24</v>
      </c>
      <c r="B23" s="53" t="s">
        <v>102</v>
      </c>
      <c r="C23" s="20" t="s">
        <v>29</v>
      </c>
      <c r="D23" s="27">
        <v>13.25</v>
      </c>
    </row>
    <row r="24" spans="1:4" ht="12.75">
      <c r="A24" s="24" t="s">
        <v>69</v>
      </c>
      <c r="B24" s="53" t="s">
        <v>103</v>
      </c>
      <c r="C24" s="20" t="s">
        <v>30</v>
      </c>
      <c r="D24" s="27">
        <v>43</v>
      </c>
    </row>
    <row r="25" spans="1:4" ht="12.75">
      <c r="A25" s="24" t="s">
        <v>70</v>
      </c>
      <c r="B25" s="53" t="s">
        <v>104</v>
      </c>
      <c r="C25" s="20" t="s">
        <v>71</v>
      </c>
      <c r="D25" s="27">
        <v>153.3</v>
      </c>
    </row>
    <row r="26" spans="1:2" ht="12.75">
      <c r="A26" s="24" t="s">
        <v>58</v>
      </c>
      <c r="B26" s="50">
        <v>30</v>
      </c>
    </row>
    <row r="27" spans="1:2" ht="12.75">
      <c r="A27" s="24" t="s">
        <v>59</v>
      </c>
      <c r="B27" s="51">
        <v>100</v>
      </c>
    </row>
    <row r="28" ht="12.75">
      <c r="B28" s="62"/>
    </row>
    <row r="29" spans="1:2" ht="12.75">
      <c r="A29" s="24" t="s">
        <v>60</v>
      </c>
      <c r="B29" s="49">
        <v>100</v>
      </c>
    </row>
    <row r="30" spans="1:5" ht="12.75">
      <c r="A30" s="24" t="s">
        <v>61</v>
      </c>
      <c r="B30" s="51">
        <v>500</v>
      </c>
      <c r="E30" s="20" t="s">
        <v>82</v>
      </c>
    </row>
    <row r="31" spans="1:6" ht="12.75">
      <c r="A31" s="24" t="s">
        <v>31</v>
      </c>
      <c r="B31" s="61">
        <f>AVERAGE(D32:F32)</f>
        <v>2</v>
      </c>
      <c r="D31" s="20" t="s">
        <v>32</v>
      </c>
      <c r="E31" s="20" t="s">
        <v>33</v>
      </c>
      <c r="F31" s="20" t="s">
        <v>34</v>
      </c>
    </row>
    <row r="32" spans="1:6" ht="12.75">
      <c r="A32" s="25" t="s">
        <v>49</v>
      </c>
      <c r="B32" s="23">
        <v>400</v>
      </c>
      <c r="D32" s="54">
        <v>2</v>
      </c>
      <c r="E32" s="55">
        <v>1</v>
      </c>
      <c r="F32" s="56">
        <v>3</v>
      </c>
    </row>
    <row r="33" spans="1:2" ht="12.75">
      <c r="A33" s="24" t="s">
        <v>84</v>
      </c>
      <c r="B33" s="65"/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">
      <pane xSplit="11610" topLeftCell="U1" activePane="topLeft" state="split"/>
      <selection pane="topLeft" activeCell="B23" sqref="B23"/>
      <selection pane="topRight" activeCell="X114" sqref="X114:Y126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2.421875" style="0" customWidth="1"/>
    <col min="4" max="4" width="11.8515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2.00390625" style="0" customWidth="1"/>
    <col min="9" max="9" width="11.7109375" style="0" customWidth="1"/>
    <col min="10" max="10" width="9.28125" style="0" customWidth="1"/>
    <col min="16" max="16" width="9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45</v>
      </c>
      <c r="B3" s="21"/>
      <c r="C3" s="21" t="str">
        <f>Parameters!$B$3</f>
        <v>Dec., 26, 2000</v>
      </c>
      <c r="D3" s="21"/>
      <c r="E3" s="21"/>
      <c r="F3" s="21"/>
      <c r="G3" s="21"/>
      <c r="H3" s="21"/>
      <c r="I3" s="21"/>
      <c r="J3" s="21"/>
    </row>
    <row r="4" spans="1:10" ht="12.75">
      <c r="A4" s="21" t="s">
        <v>66</v>
      </c>
      <c r="B4" s="21"/>
      <c r="C4" s="30" t="str">
        <f>Parameters!$B$1</f>
        <v>Dec., 26, 2000</v>
      </c>
      <c r="D4" s="21"/>
      <c r="E4" s="21"/>
      <c r="F4" s="21"/>
      <c r="G4" s="21"/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9" ht="12.75">
      <c r="A7" s="20" t="s">
        <v>1</v>
      </c>
      <c r="B7" s="31"/>
      <c r="C7" s="31" t="s">
        <v>40</v>
      </c>
      <c r="D7" s="31"/>
      <c r="E7" s="31" t="s">
        <v>9</v>
      </c>
      <c r="F7" s="31" t="s">
        <v>9</v>
      </c>
      <c r="G7" s="31" t="s">
        <v>6</v>
      </c>
      <c r="H7" s="31" t="s">
        <v>74</v>
      </c>
      <c r="I7" s="31" t="s">
        <v>75</v>
      </c>
      <c r="J7" s="31" t="s">
        <v>75</v>
      </c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20"/>
      <c r="B8" s="31"/>
      <c r="C8" s="31" t="s">
        <v>2</v>
      </c>
      <c r="D8" s="31"/>
      <c r="E8" s="31" t="s">
        <v>8</v>
      </c>
      <c r="F8" s="31" t="s">
        <v>10</v>
      </c>
      <c r="G8" s="31" t="s">
        <v>41</v>
      </c>
      <c r="H8" s="32" t="s">
        <v>76</v>
      </c>
      <c r="I8" s="32" t="s">
        <v>77</v>
      </c>
      <c r="J8" s="31" t="s">
        <v>44</v>
      </c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>
      <c r="A9" s="20"/>
      <c r="B9" s="31" t="s">
        <v>4</v>
      </c>
      <c r="C9" s="31" t="s">
        <v>3</v>
      </c>
      <c r="D9" s="31" t="s">
        <v>5</v>
      </c>
      <c r="E9" s="31"/>
      <c r="F9" s="31" t="s">
        <v>11</v>
      </c>
      <c r="G9" s="31"/>
      <c r="H9" s="31" t="s">
        <v>7</v>
      </c>
      <c r="I9" s="31" t="s">
        <v>42</v>
      </c>
      <c r="J9" s="31" t="s">
        <v>42</v>
      </c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1"/>
      <c r="B10" s="31"/>
      <c r="C10" s="31"/>
      <c r="D10" s="31"/>
      <c r="E10" s="31"/>
      <c r="F10" s="31"/>
      <c r="G10" s="31"/>
      <c r="H10" s="31"/>
      <c r="I10" s="31" t="s">
        <v>43</v>
      </c>
      <c r="J10" s="31"/>
      <c r="K10" s="8"/>
      <c r="L10" s="8"/>
      <c r="M10" s="8"/>
      <c r="N10" s="8"/>
      <c r="O10" s="8"/>
      <c r="P10" s="8"/>
      <c r="Q10" s="8"/>
      <c r="R10" s="8"/>
      <c r="S10" s="8"/>
    </row>
    <row r="11" spans="1:19" s="19" customFormat="1" ht="13.5" thickBot="1">
      <c r="A11" s="16"/>
      <c r="B11" s="16"/>
      <c r="C11" s="16"/>
      <c r="D11" s="16"/>
      <c r="E11" s="17"/>
      <c r="F11" s="17"/>
      <c r="G11" s="17"/>
      <c r="H11" s="17"/>
      <c r="I11" s="17"/>
      <c r="J11" s="16"/>
      <c r="K11" s="18"/>
      <c r="L11" s="18"/>
      <c r="M11" s="18"/>
      <c r="N11" s="18"/>
      <c r="O11" s="18"/>
      <c r="P11" s="18"/>
      <c r="Q11" s="18"/>
      <c r="R11" s="18"/>
      <c r="S11" s="18"/>
    </row>
    <row r="12" spans="1:10" ht="12.75">
      <c r="A12" s="2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2.75">
      <c r="A13" s="33">
        <v>1</v>
      </c>
      <c r="B13" s="28">
        <v>24</v>
      </c>
      <c r="C13" s="28">
        <v>19</v>
      </c>
      <c r="D13" s="28">
        <v>17</v>
      </c>
      <c r="E13" s="34">
        <f>AVERAGE(B13:D13,B14:D14)</f>
        <v>22.333333333333332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O13" s="2"/>
    </row>
    <row r="14" spans="1:15" ht="12.75">
      <c r="A14" s="33">
        <v>2</v>
      </c>
      <c r="B14" s="28">
        <v>30</v>
      </c>
      <c r="C14" s="28">
        <v>20</v>
      </c>
      <c r="D14" s="28">
        <v>24</v>
      </c>
      <c r="E14" s="34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O14" s="2"/>
    </row>
    <row r="15" spans="1:18" ht="12.75">
      <c r="A15" s="20">
        <v>3</v>
      </c>
      <c r="B15" s="29">
        <v>125427</v>
      </c>
      <c r="C15" s="29">
        <v>112240</v>
      </c>
      <c r="D15" s="29">
        <v>128510</v>
      </c>
      <c r="E15" s="35">
        <f>AVERAGE(B15:D15)</f>
        <v>122059</v>
      </c>
      <c r="F15" s="36">
        <f>(E15-E13)</f>
        <v>122036.66666666667</v>
      </c>
      <c r="G15" s="35">
        <f>F15/(Parameters!$B$9*Parameters!$B$20)</f>
        <v>187748.71794871794</v>
      </c>
      <c r="H15" s="37">
        <f>G15/(37000*60*Parameters!$B$26/1000)</f>
        <v>2.8190498190498188</v>
      </c>
      <c r="I15" s="37">
        <f>H15/EXP(-0.693*Parameters!$D$24/(Parameters!$B$8*24))</f>
        <v>2.8198276714001027</v>
      </c>
      <c r="J15" s="37">
        <f>I15*37</f>
        <v>104.3336238418038</v>
      </c>
      <c r="O15" s="2"/>
      <c r="P15" s="9"/>
      <c r="Q15" s="2"/>
      <c r="R15" s="1"/>
    </row>
    <row r="16" spans="1:18" ht="12.75">
      <c r="A16" s="20">
        <v>4</v>
      </c>
      <c r="B16" s="29">
        <v>228693</v>
      </c>
      <c r="C16" s="29">
        <v>254590</v>
      </c>
      <c r="D16" s="29">
        <v>231080</v>
      </c>
      <c r="E16" s="35">
        <f aca="true" t="shared" si="0" ref="E16:E22">AVERAGE(B16:D16)</f>
        <v>238121</v>
      </c>
      <c r="F16" s="36">
        <f>E16-E13</f>
        <v>238098.66666666666</v>
      </c>
      <c r="G16" s="35">
        <f>F16/(Parameters!$B$9*Parameters!$B$20)</f>
        <v>366305.641025641</v>
      </c>
      <c r="H16" s="37">
        <f>G16/(37000*60*Parameters!$B$26/1000)</f>
        <v>5.5000847000847</v>
      </c>
      <c r="I16" s="37">
        <f>H16/EXP(-0.693*Parameters!$D$24/(Parameters!$B$8*24))</f>
        <v>5.50160232271833</v>
      </c>
      <c r="J16" s="37">
        <f aca="true" t="shared" si="1" ref="J16:J22">I16*37</f>
        <v>203.55928594057823</v>
      </c>
      <c r="O16" s="2"/>
      <c r="P16" s="9"/>
      <c r="Q16" s="2"/>
      <c r="R16" s="1"/>
    </row>
    <row r="17" spans="1:18" ht="12.75">
      <c r="A17" s="20">
        <v>5</v>
      </c>
      <c r="B17" s="29">
        <v>455480</v>
      </c>
      <c r="C17" s="29">
        <v>453839</v>
      </c>
      <c r="D17" s="29">
        <v>427654</v>
      </c>
      <c r="E17" s="35">
        <f t="shared" si="0"/>
        <v>445657.6666666667</v>
      </c>
      <c r="F17" s="36">
        <f>E17-E13</f>
        <v>445635.3333333334</v>
      </c>
      <c r="G17" s="35">
        <f>F17/(Parameters!$B$9*Parameters!$B$20)</f>
        <v>685592.8205128205</v>
      </c>
      <c r="H17" s="37">
        <f>G17/(37000*60*Parameters!$B$26/1000)</f>
        <v>10.294186494186494</v>
      </c>
      <c r="I17" s="37">
        <f>H17/EXP(-0.693*Parameters!$D$24/(Parameters!$B$8*24))</f>
        <v>10.297026939610571</v>
      </c>
      <c r="J17" s="37">
        <f t="shared" si="1"/>
        <v>380.9899967655911</v>
      </c>
      <c r="O17" s="2"/>
      <c r="P17" s="9"/>
      <c r="Q17" s="2"/>
      <c r="R17" s="1"/>
    </row>
    <row r="18" spans="1:18" ht="12.75">
      <c r="A18" s="20">
        <v>6</v>
      </c>
      <c r="B18" s="29">
        <v>719920</v>
      </c>
      <c r="C18" s="29">
        <v>691000</v>
      </c>
      <c r="D18" s="29">
        <v>646613</v>
      </c>
      <c r="E18" s="35">
        <f t="shared" si="0"/>
        <v>685844.3333333334</v>
      </c>
      <c r="F18" s="36">
        <f>E18-E13</f>
        <v>685822</v>
      </c>
      <c r="G18" s="35">
        <f>F18/(Parameters!$B$9*Parameters!$B$20)</f>
        <v>1055110.7692307692</v>
      </c>
      <c r="H18" s="37">
        <f>G18/(37000*60*Parameters!$B$26/1000)</f>
        <v>15.842504042504043</v>
      </c>
      <c r="I18" s="37">
        <f>H18/EXP(-0.693*Parameters!$D$24/(Parameters!$B$8*24))</f>
        <v>15.846875419313553</v>
      </c>
      <c r="J18" s="37">
        <f t="shared" si="1"/>
        <v>586.3343905146015</v>
      </c>
      <c r="O18" s="2"/>
      <c r="P18" s="9"/>
      <c r="Q18" s="2"/>
      <c r="R18" s="1"/>
    </row>
    <row r="19" spans="1:18" ht="12.75">
      <c r="A19" s="20">
        <v>7</v>
      </c>
      <c r="B19" s="29">
        <v>1019480</v>
      </c>
      <c r="C19" s="29">
        <v>996266</v>
      </c>
      <c r="D19" s="29">
        <v>977553</v>
      </c>
      <c r="E19" s="35">
        <f t="shared" si="0"/>
        <v>997766.3333333334</v>
      </c>
      <c r="F19" s="36">
        <f>E19-E13</f>
        <v>997744</v>
      </c>
      <c r="G19" s="35">
        <f>F19/(Parameters!$B$9*Parameters!$B$20)</f>
        <v>1534990.7692307692</v>
      </c>
      <c r="H19" s="37">
        <f>G19/(37000*60*Parameters!$B$26/1000)</f>
        <v>23.047909447909447</v>
      </c>
      <c r="I19" s="37">
        <f>H19/EXP(-0.693*Parameters!$D$24/(Parameters!$B$8*24))</f>
        <v>23.054268991615288</v>
      </c>
      <c r="J19" s="37">
        <f t="shared" si="1"/>
        <v>853.0079526897657</v>
      </c>
      <c r="O19" s="2"/>
      <c r="P19" s="9"/>
      <c r="Q19" s="2"/>
      <c r="R19" s="1"/>
    </row>
    <row r="20" spans="1:18" ht="12.75">
      <c r="A20" s="20">
        <v>8</v>
      </c>
      <c r="B20" s="29">
        <v>1226660</v>
      </c>
      <c r="C20" s="29">
        <v>1155367</v>
      </c>
      <c r="D20" s="29">
        <v>1104490</v>
      </c>
      <c r="E20" s="35">
        <f t="shared" si="0"/>
        <v>1162172.3333333333</v>
      </c>
      <c r="F20" s="36">
        <f>E20-E13</f>
        <v>1162150</v>
      </c>
      <c r="G20" s="35">
        <f>F20/(Parameters!$B$9*Parameters!$B$20)</f>
        <v>1787923.0769230768</v>
      </c>
      <c r="H20" s="37">
        <f>G20/(37000*60*Parameters!$B$26/1000)</f>
        <v>26.845691845691842</v>
      </c>
      <c r="I20" s="37">
        <f>H20/EXP(-0.693*Parameters!$D$24/(Parameters!$B$8*24))</f>
        <v>26.85309930062792</v>
      </c>
      <c r="J20" s="37">
        <f t="shared" si="1"/>
        <v>993.5646741232331</v>
      </c>
      <c r="O20" s="2"/>
      <c r="P20" s="9"/>
      <c r="Q20" s="2"/>
      <c r="R20" s="1"/>
    </row>
    <row r="21" spans="1:18" ht="12.75">
      <c r="A21" s="20">
        <v>9</v>
      </c>
      <c r="B21" s="29">
        <v>1384907</v>
      </c>
      <c r="C21" s="29">
        <v>1388727</v>
      </c>
      <c r="D21" s="29">
        <v>1419740</v>
      </c>
      <c r="E21" s="35">
        <f t="shared" si="0"/>
        <v>1397791.3333333333</v>
      </c>
      <c r="F21" s="36">
        <f>E21-E13</f>
        <v>1397769</v>
      </c>
      <c r="G21" s="35">
        <f>F21/(Parameters!$B$9*Parameters!$B$20)</f>
        <v>2150413.846153846</v>
      </c>
      <c r="H21" s="37">
        <f>G21/(37000*60*Parameters!$B$26/1000)</f>
        <v>32.28849618849619</v>
      </c>
      <c r="I21" s="37">
        <f>H21/EXP(-0.693*Parameters!$D$24/(Parameters!$B$8*24))</f>
        <v>32.297405460860816</v>
      </c>
      <c r="J21" s="37">
        <f t="shared" si="1"/>
        <v>1195.0040020518502</v>
      </c>
      <c r="O21" s="2"/>
      <c r="P21" s="9"/>
      <c r="Q21" s="2"/>
      <c r="R21" s="1"/>
    </row>
    <row r="22" spans="1:18" ht="12.75">
      <c r="A22" s="20">
        <v>10</v>
      </c>
      <c r="B22" s="29">
        <v>1990587</v>
      </c>
      <c r="C22" s="29">
        <v>1757373</v>
      </c>
      <c r="D22" s="29">
        <v>1732846</v>
      </c>
      <c r="E22" s="35">
        <f t="shared" si="0"/>
        <v>1826935.3333333333</v>
      </c>
      <c r="F22" s="36">
        <f>E22-E13</f>
        <v>1826913</v>
      </c>
      <c r="G22" s="35">
        <f>F22/(Parameters!$B$9*Parameters!$B$20)</f>
        <v>2810635.3846153845</v>
      </c>
      <c r="H22" s="37">
        <f>G22/(37000*60*Parameters!$B$26/1000)</f>
        <v>42.2017325017325</v>
      </c>
      <c r="I22" s="37">
        <f>H22/EXP(-0.693*Parameters!$D$24/(Parameters!$B$8*24))</f>
        <v>42.2133771050278</v>
      </c>
      <c r="J22" s="37">
        <f t="shared" si="1"/>
        <v>1561.8949528860287</v>
      </c>
      <c r="O22" s="2"/>
      <c r="P22" s="9"/>
      <c r="Q22" s="2"/>
      <c r="R22" s="1"/>
    </row>
    <row r="23" spans="1:18" ht="12.75">
      <c r="A23" s="10"/>
      <c r="B23" s="10"/>
      <c r="C23" s="10"/>
      <c r="D23" s="10"/>
      <c r="E23" s="11"/>
      <c r="F23" s="13"/>
      <c r="G23" s="11"/>
      <c r="H23" s="12"/>
      <c r="I23" s="10"/>
      <c r="J23" s="10"/>
      <c r="O23" s="2"/>
      <c r="P23" s="4"/>
      <c r="Q23" s="2"/>
      <c r="R23" s="1"/>
    </row>
    <row r="24" spans="1:18" ht="12.75">
      <c r="A24" s="10"/>
      <c r="B24" s="10"/>
      <c r="C24" s="10"/>
      <c r="D24" s="10"/>
      <c r="E24" s="11"/>
      <c r="F24" s="14"/>
      <c r="G24" s="11"/>
      <c r="H24" s="12"/>
      <c r="I24" s="10"/>
      <c r="J24" s="10"/>
      <c r="O24" s="2"/>
      <c r="P24" s="5"/>
      <c r="Q24" s="2"/>
      <c r="R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33" spans="17:18" ht="12.75">
      <c r="Q33" s="3"/>
      <c r="R33" s="3"/>
    </row>
    <row r="39" spans="7:17" ht="12.75">
      <c r="G39" s="10"/>
      <c r="H39" s="10"/>
      <c r="I39" s="10"/>
      <c r="J39" s="10"/>
      <c r="O39" s="2"/>
      <c r="P39" s="2"/>
      <c r="Q39" s="6"/>
    </row>
    <row r="40" spans="7:17" ht="12.75">
      <c r="G40" s="10"/>
      <c r="H40" s="10"/>
      <c r="I40" s="10"/>
      <c r="J40" s="10"/>
      <c r="O40" s="2"/>
      <c r="P40" s="2"/>
      <c r="Q40" s="6"/>
    </row>
    <row r="41" spans="7:17" ht="12" customHeight="1">
      <c r="G41" s="10"/>
      <c r="H41" s="10"/>
      <c r="I41" s="10"/>
      <c r="J41" s="10"/>
      <c r="O41" s="2"/>
      <c r="P41" s="2"/>
      <c r="Q41" s="6"/>
    </row>
    <row r="42" spans="7:17" ht="12.75">
      <c r="G42" s="10"/>
      <c r="H42" s="10"/>
      <c r="I42" s="10"/>
      <c r="J42" s="10"/>
      <c r="O42" s="2"/>
      <c r="P42" s="2"/>
      <c r="Q42" s="6"/>
    </row>
    <row r="43" spans="7:17" ht="12.75">
      <c r="G43" s="10"/>
      <c r="H43" s="10"/>
      <c r="I43" s="10"/>
      <c r="J43" s="10"/>
      <c r="O43" s="2"/>
      <c r="P43" s="2"/>
      <c r="Q43" s="6"/>
    </row>
    <row r="44" spans="7:17" ht="12.75">
      <c r="G44" s="10"/>
      <c r="H44" s="10"/>
      <c r="I44" s="10"/>
      <c r="J44" s="10"/>
      <c r="O44" s="2"/>
      <c r="P44" s="2"/>
      <c r="Q44" s="6"/>
    </row>
    <row r="45" spans="10:17" ht="12.75">
      <c r="J45" s="3"/>
      <c r="O45" s="2"/>
      <c r="P45" s="2"/>
      <c r="Q45" s="6"/>
    </row>
    <row r="46" spans="10:17" ht="12.75">
      <c r="J46" s="10"/>
      <c r="O46" s="2"/>
      <c r="P46" s="2"/>
      <c r="Q46" s="6"/>
    </row>
    <row r="47" spans="10:17" ht="12.75">
      <c r="J47" s="10"/>
      <c r="O47" s="2"/>
      <c r="P47" s="2"/>
      <c r="Q47" s="6"/>
    </row>
    <row r="48" spans="10:17" ht="12.75">
      <c r="J48" s="10"/>
      <c r="O48" s="2"/>
      <c r="P48" s="2"/>
      <c r="Q48" s="6"/>
    </row>
    <row r="49" ht="12.75">
      <c r="J49" s="10"/>
    </row>
    <row r="50" ht="12.75" customHeight="1">
      <c r="J50" s="10"/>
    </row>
    <row r="51" ht="12.75">
      <c r="J51" s="10"/>
    </row>
    <row r="52" ht="12.75">
      <c r="J52" s="10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114" ht="12.75">
      <c r="N114" s="7"/>
    </row>
    <row r="116" ht="12.75">
      <c r="N116" s="7"/>
    </row>
    <row r="118" ht="12.75">
      <c r="N118" s="7"/>
    </row>
    <row r="120" ht="12.75">
      <c r="N120" s="7"/>
    </row>
    <row r="122" ht="12.75">
      <c r="N122" s="7"/>
    </row>
    <row r="124" ht="12.75">
      <c r="N124" s="7"/>
    </row>
    <row r="134" ht="12.75">
      <c r="N134" s="2"/>
    </row>
  </sheetData>
  <sheetProtection password="D86A"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C21" sqref="C21"/>
    </sheetView>
  </sheetViews>
  <sheetFormatPr defaultColWidth="9.140625" defaultRowHeight="12.75"/>
  <cols>
    <col min="1" max="1" width="9.140625" style="20" customWidth="1"/>
    <col min="6" max="6" width="10.8515625" style="0" customWidth="1"/>
    <col min="7" max="7" width="11.57421875" style="0" customWidth="1"/>
    <col min="8" max="8" width="12.00390625" style="0" customWidth="1"/>
    <col min="9" max="9" width="11.8515625" style="0" customWidth="1"/>
    <col min="10" max="10" width="11.421875" style="0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 t="s">
        <v>45</v>
      </c>
      <c r="B3" s="21"/>
      <c r="C3" s="21" t="str">
        <f>Parameters!$B$3</f>
        <v>Dec., 26, 2000</v>
      </c>
      <c r="D3" s="21"/>
      <c r="E3" s="21"/>
      <c r="F3" s="21"/>
      <c r="G3" s="21"/>
      <c r="H3" s="21"/>
      <c r="I3" s="21"/>
      <c r="J3" s="21"/>
    </row>
    <row r="4" spans="1:10" ht="12.75">
      <c r="A4" s="20" t="s">
        <v>66</v>
      </c>
      <c r="B4" s="21"/>
      <c r="C4" s="38" t="str">
        <f>Parameters!$B$1</f>
        <v>Dec., 26, 2000</v>
      </c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2:10" ht="12.75"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0" t="s">
        <v>1</v>
      </c>
      <c r="B7" s="31"/>
      <c r="C7" s="31" t="s">
        <v>46</v>
      </c>
      <c r="D7" s="31"/>
      <c r="E7" s="39" t="s">
        <v>9</v>
      </c>
      <c r="F7" s="39" t="s">
        <v>9</v>
      </c>
      <c r="G7" s="39" t="s">
        <v>6</v>
      </c>
      <c r="H7" s="31" t="s">
        <v>78</v>
      </c>
      <c r="I7" s="31" t="s">
        <v>79</v>
      </c>
      <c r="J7" s="31" t="s">
        <v>79</v>
      </c>
    </row>
    <row r="8" spans="2:10" ht="12.75">
      <c r="B8" s="31"/>
      <c r="C8" s="31" t="s">
        <v>2</v>
      </c>
      <c r="D8" s="31"/>
      <c r="E8" s="39" t="s">
        <v>8</v>
      </c>
      <c r="F8" s="31" t="s">
        <v>10</v>
      </c>
      <c r="G8" s="31" t="s">
        <v>41</v>
      </c>
      <c r="H8" s="32" t="s">
        <v>76</v>
      </c>
      <c r="I8" s="32" t="s">
        <v>80</v>
      </c>
      <c r="J8" s="31" t="s">
        <v>57</v>
      </c>
    </row>
    <row r="9" spans="2:10" ht="12.75">
      <c r="B9" s="31" t="s">
        <v>4</v>
      </c>
      <c r="C9" s="31" t="s">
        <v>3</v>
      </c>
      <c r="D9" s="31" t="s">
        <v>5</v>
      </c>
      <c r="E9" s="39"/>
      <c r="F9" s="31" t="s">
        <v>11</v>
      </c>
      <c r="G9" s="39"/>
      <c r="H9" s="31" t="s">
        <v>7</v>
      </c>
      <c r="I9" s="31" t="s">
        <v>47</v>
      </c>
      <c r="J9" s="31" t="s">
        <v>47</v>
      </c>
    </row>
    <row r="10" spans="2:10" ht="12.75">
      <c r="B10" s="21"/>
      <c r="C10" s="21"/>
      <c r="D10" s="21"/>
      <c r="E10" s="21"/>
      <c r="F10" s="21"/>
      <c r="G10" s="21"/>
      <c r="H10" s="21"/>
      <c r="I10" s="31"/>
      <c r="J10" s="21"/>
    </row>
    <row r="11" spans="2:10" ht="12.7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33">
        <v>1</v>
      </c>
      <c r="B13" s="28">
        <v>13</v>
      </c>
      <c r="C13" s="28">
        <v>19</v>
      </c>
      <c r="D13" s="28">
        <v>17</v>
      </c>
      <c r="E13" s="34">
        <f>AVERAGE(B13:D14)</f>
        <v>20.5</v>
      </c>
      <c r="F13" s="34">
        <v>0</v>
      </c>
      <c r="G13" s="40">
        <v>0</v>
      </c>
      <c r="H13" s="41">
        <v>0</v>
      </c>
      <c r="I13" s="40">
        <v>0</v>
      </c>
      <c r="J13" s="59">
        <f>I13*37</f>
        <v>0</v>
      </c>
    </row>
    <row r="14" spans="1:10" ht="12.75">
      <c r="A14" s="33">
        <v>2</v>
      </c>
      <c r="B14" s="28">
        <v>28</v>
      </c>
      <c r="C14" s="28">
        <v>19</v>
      </c>
      <c r="D14" s="28">
        <v>27</v>
      </c>
      <c r="E14" s="34"/>
      <c r="F14" s="34">
        <v>0</v>
      </c>
      <c r="G14" s="40">
        <v>0</v>
      </c>
      <c r="H14" s="41">
        <v>0</v>
      </c>
      <c r="I14" s="40">
        <v>0</v>
      </c>
      <c r="J14" s="59">
        <f aca="true" t="shared" si="0" ref="J14:J22">I14*37</f>
        <v>0</v>
      </c>
    </row>
    <row r="15" spans="1:10" ht="12.75">
      <c r="A15" s="20">
        <v>3</v>
      </c>
      <c r="B15" s="29">
        <v>3544</v>
      </c>
      <c r="C15" s="29">
        <v>2709</v>
      </c>
      <c r="D15" s="29">
        <v>2446</v>
      </c>
      <c r="E15" s="35">
        <f aca="true" t="shared" si="1" ref="E15:E22">AVERAGE(B15:D15)</f>
        <v>2899.6666666666665</v>
      </c>
      <c r="F15" s="35">
        <f>E15-$E$13</f>
        <v>2879.1666666666665</v>
      </c>
      <c r="G15" s="35">
        <f>F15/(Parameters!$B$9*Parameters!$B$20)</f>
        <v>4429.487179487179</v>
      </c>
      <c r="H15" s="42">
        <f>G15/(37000*60*Parameters!$B$27/1000)</f>
        <v>0.01995264495264495</v>
      </c>
      <c r="I15" s="42">
        <f>H15/EXP(-0.693*(Parameters!$D$25)/(Parameters!$B$8*24))</f>
        <v>0.019972279562662176</v>
      </c>
      <c r="J15" s="37">
        <f t="shared" si="0"/>
        <v>0.7389743438185006</v>
      </c>
    </row>
    <row r="16" spans="1:10" ht="12.75">
      <c r="A16" s="20">
        <v>4</v>
      </c>
      <c r="B16" s="29">
        <v>3666</v>
      </c>
      <c r="C16" s="29">
        <v>3408</v>
      </c>
      <c r="D16" s="29">
        <v>3155</v>
      </c>
      <c r="E16" s="35">
        <f t="shared" si="1"/>
        <v>3409.6666666666665</v>
      </c>
      <c r="F16" s="35">
        <f aca="true" t="shared" si="2" ref="F16:F22">E16-$E$13</f>
        <v>3389.1666666666665</v>
      </c>
      <c r="G16" s="35">
        <f>F16/(Parameters!$B$9*Parameters!$B$20)</f>
        <v>5214.1025641025635</v>
      </c>
      <c r="H16" s="42">
        <f>G16/(37000*60*Parameters!$B$27/1000)</f>
        <v>0.023486948486948486</v>
      </c>
      <c r="I16" s="42">
        <f>H16/EXP(-0.693*(Parameters!$D$25)/(Parameters!$B$8*24))</f>
        <v>0.0235100610655129</v>
      </c>
      <c r="J16" s="37">
        <f t="shared" si="0"/>
        <v>0.8698722594239773</v>
      </c>
    </row>
    <row r="17" spans="1:10" ht="12.75">
      <c r="A17" s="20">
        <v>5</v>
      </c>
      <c r="B17" s="29">
        <v>7763</v>
      </c>
      <c r="C17" s="29">
        <v>7439</v>
      </c>
      <c r="D17" s="29">
        <v>4860</v>
      </c>
      <c r="E17" s="35">
        <f t="shared" si="1"/>
        <v>6687.333333333333</v>
      </c>
      <c r="F17" s="35">
        <f t="shared" si="2"/>
        <v>6666.833333333333</v>
      </c>
      <c r="G17" s="35">
        <f>F17/(Parameters!$B$9*Parameters!$B$20)</f>
        <v>10256.666666666666</v>
      </c>
      <c r="H17" s="42">
        <f>G17/(37000*60*Parameters!$B$27/1000)</f>
        <v>0.0462012012012012</v>
      </c>
      <c r="I17" s="42">
        <f>H17/EXP(-0.693*(Parameters!$D$25)/(Parameters!$B$8*24))</f>
        <v>0.04624666597893196</v>
      </c>
      <c r="J17" s="37">
        <f t="shared" si="0"/>
        <v>1.7111266412204826</v>
      </c>
    </row>
    <row r="18" spans="1:10" ht="12.75">
      <c r="A18" s="20">
        <v>6</v>
      </c>
      <c r="B18" s="29">
        <v>8994</v>
      </c>
      <c r="C18" s="29">
        <v>8257</v>
      </c>
      <c r="D18" s="29">
        <v>8389</v>
      </c>
      <c r="E18" s="35">
        <f t="shared" si="1"/>
        <v>8546.666666666666</v>
      </c>
      <c r="F18" s="35">
        <f t="shared" si="2"/>
        <v>8526.166666666666</v>
      </c>
      <c r="G18" s="35">
        <f>F18/(Parameters!$B$9*Parameters!$B$20)</f>
        <v>13117.179487179486</v>
      </c>
      <c r="H18" s="42">
        <f>G18/(37000*60*Parameters!$B$27/1000)</f>
        <v>0.05908639408639408</v>
      </c>
      <c r="I18" s="42">
        <f>H18/EXP(-0.693*(Parameters!$D$25)/(Parameters!$B$8*24))</f>
        <v>0.05914453867363872</v>
      </c>
      <c r="J18" s="37">
        <f t="shared" si="0"/>
        <v>2.1883479309246328</v>
      </c>
    </row>
    <row r="19" spans="1:10" ht="12.75">
      <c r="A19" s="20">
        <v>7</v>
      </c>
      <c r="B19" s="29">
        <v>16838</v>
      </c>
      <c r="C19" s="29">
        <v>13869</v>
      </c>
      <c r="D19" s="29">
        <v>11772</v>
      </c>
      <c r="E19" s="35">
        <f t="shared" si="1"/>
        <v>14159.666666666666</v>
      </c>
      <c r="F19" s="35">
        <f t="shared" si="2"/>
        <v>14139.166666666666</v>
      </c>
      <c r="G19" s="35">
        <f>F19/(Parameters!$B$9*Parameters!$B$20)</f>
        <v>21752.5641025641</v>
      </c>
      <c r="H19" s="42">
        <f>G19/(37000*60*Parameters!$B$27/1000)</f>
        <v>0.09798452298452298</v>
      </c>
      <c r="I19" s="42">
        <f>H19/EXP(-0.693*(Parameters!$D$25)/(Parameters!$B$8*24))</f>
        <v>0.09808094568442523</v>
      </c>
      <c r="J19" s="37">
        <f t="shared" si="0"/>
        <v>3.6289949903237333</v>
      </c>
    </row>
    <row r="20" spans="1:10" ht="12.75">
      <c r="A20" s="20">
        <v>8</v>
      </c>
      <c r="B20" s="29">
        <v>13536</v>
      </c>
      <c r="C20" s="29">
        <v>14549</v>
      </c>
      <c r="D20" s="29">
        <v>14904</v>
      </c>
      <c r="E20" s="35">
        <f t="shared" si="1"/>
        <v>14329.666666666666</v>
      </c>
      <c r="F20" s="35">
        <f t="shared" si="2"/>
        <v>14309.166666666666</v>
      </c>
      <c r="G20" s="35">
        <f>F20/(Parameters!$B$9*Parameters!$B$20)</f>
        <v>22014.102564102563</v>
      </c>
      <c r="H20" s="42">
        <f>G20/(37000*60*Parameters!$B$27/1000)</f>
        <v>0.09916262416262416</v>
      </c>
      <c r="I20" s="42">
        <f>H20/EXP(-0.693*(Parameters!$D$25)/(Parameters!$B$8*24))</f>
        <v>0.09926020618537545</v>
      </c>
      <c r="J20" s="37">
        <f t="shared" si="0"/>
        <v>3.672627628858892</v>
      </c>
    </row>
    <row r="21" spans="1:10" ht="12.75">
      <c r="A21" s="20">
        <v>9</v>
      </c>
      <c r="B21" s="29">
        <v>15643</v>
      </c>
      <c r="C21" s="29">
        <v>12517</v>
      </c>
      <c r="D21" s="29">
        <v>16421</v>
      </c>
      <c r="E21" s="35">
        <f t="shared" si="1"/>
        <v>14860.333333333334</v>
      </c>
      <c r="F21" s="35">
        <f t="shared" si="2"/>
        <v>14839.833333333334</v>
      </c>
      <c r="G21" s="35">
        <f>F21/(Parameters!$B$9*Parameters!$B$20)</f>
        <v>22830.51282051282</v>
      </c>
      <c r="H21" s="42">
        <f>G21/(37000*60*Parameters!$B$27/1000)</f>
        <v>0.10284014784014783</v>
      </c>
      <c r="I21" s="42">
        <f>H21/EXP(-0.693*(Parameters!$D$25)/(Parameters!$B$8*24))</f>
        <v>0.10294134876873386</v>
      </c>
      <c r="J21" s="37">
        <f t="shared" si="0"/>
        <v>3.8088299044431526</v>
      </c>
    </row>
    <row r="22" spans="1:10" ht="12.75">
      <c r="A22" s="20">
        <v>10</v>
      </c>
      <c r="B22" s="29">
        <v>18944</v>
      </c>
      <c r="C22" s="29">
        <v>21870</v>
      </c>
      <c r="D22" s="29">
        <v>19002</v>
      </c>
      <c r="E22" s="35">
        <f t="shared" si="1"/>
        <v>19938.666666666668</v>
      </c>
      <c r="F22" s="35">
        <f t="shared" si="2"/>
        <v>19918.166666666668</v>
      </c>
      <c r="G22" s="35">
        <f>F22/(Parameters!$B$9*Parameters!$B$20)</f>
        <v>30643.333333333336</v>
      </c>
      <c r="H22" s="42">
        <f>G22/(37000*60*Parameters!$B$27/1000)</f>
        <v>0.13803303303303305</v>
      </c>
      <c r="I22" s="42">
        <f>H22/EXP(-0.693*(Parameters!$D$25)/(Parameters!$B$8*24))</f>
        <v>0.13816886589025726</v>
      </c>
      <c r="J22" s="37">
        <f t="shared" si="0"/>
        <v>5.112248037939518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25">
      <selection activeCell="F42" sqref="F42"/>
    </sheetView>
  </sheetViews>
  <sheetFormatPr defaultColWidth="9.140625" defaultRowHeight="12.75"/>
  <cols>
    <col min="1" max="1" width="6.57421875" style="63" customWidth="1"/>
    <col min="2" max="2" width="8.57421875" style="0" customWidth="1"/>
    <col min="3" max="3" width="7.421875" style="0" customWidth="1"/>
    <col min="4" max="4" width="8.00390625" style="0" customWidth="1"/>
    <col min="5" max="5" width="7.8515625" style="0" customWidth="1"/>
    <col min="6" max="6" width="9.00390625" style="0" customWidth="1"/>
    <col min="7" max="8" width="8.140625" style="0" customWidth="1"/>
    <col min="9" max="9" width="10.8515625" style="0" customWidth="1"/>
    <col min="10" max="10" width="9.28125" style="0" customWidth="1"/>
  </cols>
  <sheetData>
    <row r="1" spans="2:6" ht="12.75">
      <c r="B1" s="20"/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63" t="s">
        <v>45</v>
      </c>
      <c r="B3" s="20"/>
      <c r="C3" s="20" t="str">
        <f>Parameters!$B$3</f>
        <v>Dec., 26, 2000</v>
      </c>
      <c r="D3" s="20"/>
      <c r="E3" s="20"/>
      <c r="F3" s="20"/>
    </row>
    <row r="4" spans="1:6" ht="12.75">
      <c r="A4" s="63" t="s">
        <v>12</v>
      </c>
      <c r="B4" s="20"/>
      <c r="C4" s="43" t="str">
        <f>Parameters!$B$1</f>
        <v>Dec., 26, 2000</v>
      </c>
      <c r="D4" s="20"/>
      <c r="E4" s="20"/>
      <c r="F4" s="20"/>
    </row>
    <row r="5" spans="2:6" ht="12.75">
      <c r="B5" s="20"/>
      <c r="C5" s="20"/>
      <c r="D5" s="20"/>
      <c r="E5" s="20"/>
      <c r="F5" s="20"/>
    </row>
    <row r="6" spans="2:6" ht="12.75">
      <c r="B6" s="20"/>
      <c r="C6" s="20"/>
      <c r="D6" s="20"/>
      <c r="E6" s="20"/>
      <c r="F6" s="20"/>
    </row>
    <row r="7" spans="1:8" ht="12.75">
      <c r="A7" s="63" t="s">
        <v>1</v>
      </c>
      <c r="B7" s="20"/>
      <c r="C7" s="20" t="s">
        <v>48</v>
      </c>
      <c r="D7" s="20"/>
      <c r="E7" s="20" t="s">
        <v>8</v>
      </c>
      <c r="F7" s="20" t="s">
        <v>0</v>
      </c>
      <c r="H7" s="20" t="s">
        <v>88</v>
      </c>
    </row>
    <row r="8" spans="2:10" ht="12.75">
      <c r="B8" s="31" t="s">
        <v>4</v>
      </c>
      <c r="C8" s="31" t="s">
        <v>3</v>
      </c>
      <c r="D8" s="31" t="s">
        <v>5</v>
      </c>
      <c r="E8" s="20"/>
      <c r="F8" s="20"/>
      <c r="G8" s="31" t="s">
        <v>85</v>
      </c>
      <c r="H8" s="31" t="s">
        <v>86</v>
      </c>
      <c r="I8" s="31" t="s">
        <v>5</v>
      </c>
      <c r="J8" s="31" t="s">
        <v>87</v>
      </c>
    </row>
    <row r="9" spans="2:6" ht="12.75">
      <c r="B9" s="20"/>
      <c r="C9" s="20"/>
      <c r="D9" s="20"/>
      <c r="E9" s="20"/>
      <c r="F9" s="20"/>
    </row>
    <row r="10" spans="2:6" ht="12.75">
      <c r="B10" s="20"/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1:10" ht="12.75">
      <c r="A13" s="64">
        <v>1</v>
      </c>
      <c r="B13" s="28">
        <v>2780</v>
      </c>
      <c r="C13" s="28">
        <v>2723</v>
      </c>
      <c r="D13" s="28">
        <v>2534</v>
      </c>
      <c r="E13" s="34">
        <f>IF(Parameters!$B$33="Yes",AVERAGE(G13:J13),AVERAGE(B13:D13))</f>
        <v>2679</v>
      </c>
      <c r="F13" s="34">
        <f>IF(Parameters!$B$33="Yes",E13*10000,(E13-Parameters!$B$31)*Parameters!$B$32*(100/Parameters!$B$29)*(500/Parameters!$B$30))</f>
        <v>1070800</v>
      </c>
      <c r="G13" s="26"/>
      <c r="H13" s="26"/>
      <c r="I13" s="26"/>
      <c r="J13" s="26"/>
    </row>
    <row r="14" spans="1:10" ht="12.75">
      <c r="A14" s="64">
        <v>2</v>
      </c>
      <c r="B14" s="28">
        <v>2780</v>
      </c>
      <c r="C14" s="28">
        <v>2723</v>
      </c>
      <c r="D14" s="28">
        <v>2534</v>
      </c>
      <c r="E14" s="34">
        <f>IF(Parameters!$B$33="Yes",AVERAGE(G14:J14),AVERAGE(B14:D14))</f>
        <v>2679</v>
      </c>
      <c r="F14" s="34">
        <f>IF(Parameters!$B$33="Yes",E14*10000,(E14-Parameters!$B$31)*Parameters!$B$32*(100/Parameters!$B$29)*(500/Parameters!$B$30))</f>
        <v>1070800</v>
      </c>
      <c r="G14" s="26"/>
      <c r="H14" s="26"/>
      <c r="I14" s="26"/>
      <c r="J14" s="26"/>
    </row>
    <row r="15" spans="1:10" ht="12.75">
      <c r="A15" s="63">
        <v>3</v>
      </c>
      <c r="B15" s="29">
        <v>2807</v>
      </c>
      <c r="C15" s="29">
        <v>2830</v>
      </c>
      <c r="D15" s="29">
        <v>2783</v>
      </c>
      <c r="E15" s="35">
        <f>IF(Parameters!$B$33="Yes",AVERAGE(G15:J15),AVERAGE(B15:D15))</f>
        <v>2806.6666666666665</v>
      </c>
      <c r="F15" s="35">
        <f>IF(Parameters!$B$33="Yes",E15*10000,(E15-Parameters!$B$31)*Parameters!$B$32*(100/Parameters!$B$29)*(500/Parameters!$B$30))</f>
        <v>1121866.6666666665</v>
      </c>
      <c r="G15" s="26"/>
      <c r="H15" s="26"/>
      <c r="I15" s="26"/>
      <c r="J15" s="26"/>
    </row>
    <row r="16" spans="1:10" ht="12.75">
      <c r="A16" s="63">
        <v>4</v>
      </c>
      <c r="B16" s="29">
        <v>2653</v>
      </c>
      <c r="C16" s="29">
        <v>2686</v>
      </c>
      <c r="D16" s="29">
        <v>2607</v>
      </c>
      <c r="E16" s="35">
        <f>IF(Parameters!$B$33="Yes",AVERAGE(G16:J16),AVERAGE(B16:D16))</f>
        <v>2648.6666666666665</v>
      </c>
      <c r="F16" s="35">
        <f>IF(Parameters!$B$33="Yes",E16*10000,(E16-Parameters!$B$31)*Parameters!$B$32*(100/Parameters!$B$29)*(500/Parameters!$B$30))</f>
        <v>1058666.6666666665</v>
      </c>
      <c r="G16" s="26"/>
      <c r="H16" s="26"/>
      <c r="I16" s="26"/>
      <c r="J16" s="26"/>
    </row>
    <row r="17" spans="1:10" ht="12.75">
      <c r="A17" s="63">
        <v>5</v>
      </c>
      <c r="B17" s="29">
        <v>2891</v>
      </c>
      <c r="C17" s="29">
        <v>2883</v>
      </c>
      <c r="D17" s="29">
        <v>2822</v>
      </c>
      <c r="E17" s="35">
        <f>IF(Parameters!$B$33="Yes",AVERAGE(G17:J17),AVERAGE(B17:D17))</f>
        <v>2865.3333333333335</v>
      </c>
      <c r="F17" s="35">
        <f>IF(Parameters!$B$33="Yes",E17*10000,(E17-Parameters!$B$31)*Parameters!$B$32*(100/Parameters!$B$29)*(500/Parameters!$B$30))</f>
        <v>1145333.3333333335</v>
      </c>
      <c r="G17" s="26"/>
      <c r="H17" s="26"/>
      <c r="I17" s="26"/>
      <c r="J17" s="26"/>
    </row>
    <row r="18" spans="1:10" ht="12.75">
      <c r="A18" s="63">
        <v>6</v>
      </c>
      <c r="B18" s="29">
        <v>2428</v>
      </c>
      <c r="C18" s="29">
        <v>2515</v>
      </c>
      <c r="D18" s="29">
        <v>2576</v>
      </c>
      <c r="E18" s="35">
        <f>IF(Parameters!$B$33="Yes",AVERAGE(G18:J18),AVERAGE(B18:D18))</f>
        <v>2506.3333333333335</v>
      </c>
      <c r="F18" s="35">
        <f>IF(Parameters!$B$33="Yes",E18*10000,(E18-Parameters!$B$31)*Parameters!$B$32*(100/Parameters!$B$29)*(500/Parameters!$B$30))</f>
        <v>1001733.3333333334</v>
      </c>
      <c r="G18" s="26"/>
      <c r="H18" s="26"/>
      <c r="I18" s="26"/>
      <c r="J18" s="26"/>
    </row>
    <row r="19" spans="1:10" ht="12.75">
      <c r="A19" s="63">
        <v>7</v>
      </c>
      <c r="B19" s="29">
        <v>2773</v>
      </c>
      <c r="C19" s="29">
        <v>2728</v>
      </c>
      <c r="D19" s="29">
        <v>2783</v>
      </c>
      <c r="E19" s="35">
        <f>IF(Parameters!$B$33="Yes",AVERAGE(G19:J19),AVERAGE(B19:D19))</f>
        <v>2761.3333333333335</v>
      </c>
      <c r="F19" s="35">
        <f>IF(Parameters!$B$33="Yes",E19*10000,(E19-Parameters!$B$31)*Parameters!$B$32*(100/Parameters!$B$29)*(500/Parameters!$B$30))</f>
        <v>1103733.3333333335</v>
      </c>
      <c r="G19" s="26"/>
      <c r="H19" s="26"/>
      <c r="I19" s="26"/>
      <c r="J19" s="26"/>
    </row>
    <row r="20" spans="1:10" ht="12.75">
      <c r="A20" s="63">
        <v>8</v>
      </c>
      <c r="B20" s="29">
        <v>3192</v>
      </c>
      <c r="C20" s="29">
        <v>3252</v>
      </c>
      <c r="D20" s="29">
        <v>3131</v>
      </c>
      <c r="E20" s="35">
        <f>IF(Parameters!$B$33="Yes",AVERAGE(G20:J20),AVERAGE(B20:D20))</f>
        <v>3191.6666666666665</v>
      </c>
      <c r="F20" s="35">
        <f>IF(Parameters!$B$33="Yes",E20*10000,(E20-Parameters!$B$31)*Parameters!$B$32*(100/Parameters!$B$29)*(500/Parameters!$B$30))</f>
        <v>1275866.6666666665</v>
      </c>
      <c r="G20" s="26"/>
      <c r="H20" s="26"/>
      <c r="I20" s="26"/>
      <c r="J20" s="26"/>
    </row>
    <row r="21" spans="1:10" ht="12.75">
      <c r="A21" s="63">
        <v>9</v>
      </c>
      <c r="B21" s="29">
        <v>2878</v>
      </c>
      <c r="C21" s="29">
        <v>2891</v>
      </c>
      <c r="D21" s="29">
        <v>2747</v>
      </c>
      <c r="E21" s="35">
        <f>IF(Parameters!$B$33="Yes",AVERAGE(G21:J21),AVERAGE(B21:D21))</f>
        <v>2838.6666666666665</v>
      </c>
      <c r="F21" s="35">
        <f>IF(Parameters!$B$33="Yes",E21*10000,(E21-Parameters!$B$31)*Parameters!$B$32*(100/Parameters!$B$29)*(500/Parameters!$B$30))</f>
        <v>1134666.6666666665</v>
      </c>
      <c r="G21" s="26"/>
      <c r="H21" s="26"/>
      <c r="I21" s="26"/>
      <c r="J21" s="26"/>
    </row>
    <row r="22" spans="1:10" ht="12.75">
      <c r="A22" s="63">
        <v>10</v>
      </c>
      <c r="B22" s="29">
        <v>2926</v>
      </c>
      <c r="C22" s="29">
        <v>2949</v>
      </c>
      <c r="D22" s="29">
        <v>2908</v>
      </c>
      <c r="E22" s="35">
        <f>IF(Parameters!$B$33="Yes",AVERAGE(G22:J22),AVERAGE(B22:D22))</f>
        <v>2927.6666666666665</v>
      </c>
      <c r="F22" s="35">
        <f>IF(Parameters!$B$33="Yes",E22*10000,(E22-Parameters!$B$31)*Parameters!$B$32*(100/Parameters!$B$29)*(500/Parameters!$B$30))</f>
        <v>1170266.6666666665</v>
      </c>
      <c r="G22" s="26"/>
      <c r="H22" s="26"/>
      <c r="I22" s="26"/>
      <c r="J22" s="26"/>
    </row>
    <row r="29" spans="1:10" ht="12.75">
      <c r="A29" s="63" t="s">
        <v>1</v>
      </c>
      <c r="B29" s="31" t="s">
        <v>63</v>
      </c>
      <c r="C29" s="31" t="s">
        <v>65</v>
      </c>
      <c r="D29" s="20"/>
      <c r="E29" s="20" t="s">
        <v>50</v>
      </c>
      <c r="F29" s="20"/>
      <c r="G29" s="31" t="s">
        <v>8</v>
      </c>
      <c r="H29" s="31" t="s">
        <v>52</v>
      </c>
      <c r="I29" s="31" t="s">
        <v>14</v>
      </c>
      <c r="J29" s="31" t="s">
        <v>14</v>
      </c>
    </row>
    <row r="30" spans="2:10" ht="12.75">
      <c r="B30" s="31" t="s">
        <v>64</v>
      </c>
      <c r="C30" s="31" t="s">
        <v>64</v>
      </c>
      <c r="D30" s="31" t="s">
        <v>4</v>
      </c>
      <c r="E30" s="31" t="s">
        <v>3</v>
      </c>
      <c r="F30" s="31" t="s">
        <v>5</v>
      </c>
      <c r="G30" s="31"/>
      <c r="H30" s="31"/>
      <c r="I30" s="31" t="s">
        <v>67</v>
      </c>
      <c r="J30" s="31" t="s">
        <v>68</v>
      </c>
    </row>
    <row r="31" spans="2:10" ht="12.75">
      <c r="B31" s="31" t="s">
        <v>51</v>
      </c>
      <c r="C31" s="31" t="s">
        <v>51</v>
      </c>
      <c r="D31" s="20"/>
      <c r="E31" s="20"/>
      <c r="F31" s="20"/>
      <c r="G31" s="20"/>
      <c r="H31" s="20"/>
      <c r="I31" s="20"/>
      <c r="J31" s="20"/>
    </row>
    <row r="32" spans="4:8" ht="12.75">
      <c r="D32" s="10"/>
      <c r="E32" s="10"/>
      <c r="F32" s="10"/>
      <c r="G32" s="10"/>
      <c r="H32" s="10"/>
    </row>
    <row r="33" spans="4:8" ht="12.75">
      <c r="D33" s="10"/>
      <c r="E33" s="10"/>
      <c r="F33" s="10"/>
      <c r="G33" s="10"/>
      <c r="H33" s="10"/>
    </row>
    <row r="34" spans="4:8" ht="12.75">
      <c r="D34" s="10"/>
      <c r="E34" s="10"/>
      <c r="F34" s="10"/>
      <c r="G34" s="10"/>
      <c r="H34" s="10"/>
    </row>
    <row r="35" spans="1:10" ht="12.75">
      <c r="A35" s="64">
        <v>1</v>
      </c>
      <c r="B35" s="26">
        <v>200</v>
      </c>
      <c r="C35" s="34">
        <f>F13/(10000*200/B35)</f>
        <v>107.08</v>
      </c>
      <c r="D35" s="28">
        <v>84</v>
      </c>
      <c r="E35" s="28">
        <v>83</v>
      </c>
      <c r="F35" s="28">
        <v>88</v>
      </c>
      <c r="G35" s="34">
        <f>AVERAGE(D35:F36)</f>
        <v>80.5</v>
      </c>
      <c r="H35" s="44">
        <f>G35/C35*100</f>
        <v>75.17743742995891</v>
      </c>
      <c r="I35" s="60">
        <f>G35*200/B35/$G$35</f>
        <v>1</v>
      </c>
      <c r="J35" s="59">
        <f>(G35/AVERAGE(C35:C36))/($G$35/AVERAGE($C$35,$C$36))</f>
        <v>1</v>
      </c>
    </row>
    <row r="36" spans="1:10" ht="12.75">
      <c r="A36" s="64">
        <v>2</v>
      </c>
      <c r="B36" s="26">
        <v>200</v>
      </c>
      <c r="C36" s="34">
        <f aca="true" t="shared" si="0" ref="C36:C44">F14/(10000*200/B36)</f>
        <v>107.08</v>
      </c>
      <c r="D36" s="28">
        <v>72</v>
      </c>
      <c r="E36" s="28">
        <v>80</v>
      </c>
      <c r="F36" s="28">
        <v>76</v>
      </c>
      <c r="G36" s="34"/>
      <c r="H36" s="44"/>
      <c r="I36" s="45"/>
      <c r="J36" s="37"/>
    </row>
    <row r="37" spans="1:10" ht="12.75">
      <c r="A37" s="63">
        <v>3</v>
      </c>
      <c r="B37" s="26">
        <v>200</v>
      </c>
      <c r="C37" s="35">
        <f t="shared" si="0"/>
        <v>112.18666666666665</v>
      </c>
      <c r="D37" s="29">
        <v>72</v>
      </c>
      <c r="E37" s="29">
        <v>73</v>
      </c>
      <c r="F37" s="29">
        <v>67</v>
      </c>
      <c r="G37" s="35">
        <f aca="true" t="shared" si="1" ref="G37:G44">AVERAGE(D37:F37)</f>
        <v>70.66666666666667</v>
      </c>
      <c r="H37" s="46">
        <f aca="true" t="shared" si="2" ref="H37:H44">G37/C37*100</f>
        <v>62.990254338008086</v>
      </c>
      <c r="I37" s="37">
        <f aca="true" t="shared" si="3" ref="I37:I44">G37*200/B37/$G$35</f>
        <v>0.8778467908902692</v>
      </c>
      <c r="J37" s="37">
        <f>(G37/C37)/($G$35/AVERAGE($C$35,$C$36))</f>
        <v>0.8378877558402368</v>
      </c>
    </row>
    <row r="38" spans="1:10" ht="12.75">
      <c r="A38" s="63">
        <v>4</v>
      </c>
      <c r="B38" s="26">
        <v>200</v>
      </c>
      <c r="C38" s="35">
        <f t="shared" si="0"/>
        <v>105.86666666666665</v>
      </c>
      <c r="D38" s="29">
        <v>68</v>
      </c>
      <c r="E38" s="29">
        <v>57</v>
      </c>
      <c r="F38" s="29">
        <v>63</v>
      </c>
      <c r="G38" s="35">
        <f t="shared" si="1"/>
        <v>62.666666666666664</v>
      </c>
      <c r="H38" s="46">
        <f t="shared" si="2"/>
        <v>59.19395465994963</v>
      </c>
      <c r="I38" s="37">
        <f t="shared" si="3"/>
        <v>0.7784679089026914</v>
      </c>
      <c r="J38" s="37">
        <f aca="true" t="shared" si="4" ref="J38:J44">(G38/C38)/($G$35/AVERAGE($C$35,$C$36))</f>
        <v>0.7873898962717275</v>
      </c>
    </row>
    <row r="39" spans="1:10" ht="12.75">
      <c r="A39" s="63">
        <v>5</v>
      </c>
      <c r="B39" s="26">
        <v>200</v>
      </c>
      <c r="C39" s="35">
        <f t="shared" si="0"/>
        <v>114.53333333333335</v>
      </c>
      <c r="D39" s="29">
        <v>92</v>
      </c>
      <c r="E39" s="29">
        <v>68</v>
      </c>
      <c r="F39" s="29">
        <v>74</v>
      </c>
      <c r="G39" s="35">
        <f t="shared" si="1"/>
        <v>78</v>
      </c>
      <c r="H39" s="46">
        <f t="shared" si="2"/>
        <v>68.10244470314318</v>
      </c>
      <c r="I39" s="37">
        <f t="shared" si="3"/>
        <v>0.968944099378882</v>
      </c>
      <c r="J39" s="37">
        <f t="shared" si="4"/>
        <v>0.9058894135170896</v>
      </c>
    </row>
    <row r="40" spans="1:10" ht="12.75">
      <c r="A40" s="63">
        <v>6</v>
      </c>
      <c r="B40" s="26">
        <v>200</v>
      </c>
      <c r="C40" s="35">
        <f t="shared" si="0"/>
        <v>100.17333333333333</v>
      </c>
      <c r="D40" s="29">
        <v>17</v>
      </c>
      <c r="E40" s="29">
        <v>21</v>
      </c>
      <c r="F40" s="29">
        <v>30</v>
      </c>
      <c r="G40" s="35">
        <f t="shared" si="1"/>
        <v>22.666666666666668</v>
      </c>
      <c r="H40" s="46">
        <f t="shared" si="2"/>
        <v>22.627445760681486</v>
      </c>
      <c r="I40" s="37">
        <f t="shared" si="3"/>
        <v>0.2815734989648034</v>
      </c>
      <c r="J40" s="37">
        <f t="shared" si="4"/>
        <v>0.30098719155947495</v>
      </c>
    </row>
    <row r="41" spans="1:10" ht="12.75">
      <c r="A41" s="63">
        <v>7</v>
      </c>
      <c r="B41" s="26">
        <v>200</v>
      </c>
      <c r="C41" s="35">
        <f t="shared" si="0"/>
        <v>110.37333333333335</v>
      </c>
      <c r="D41" s="29">
        <v>59</v>
      </c>
      <c r="E41" s="29">
        <v>43</v>
      </c>
      <c r="F41" s="29">
        <v>53</v>
      </c>
      <c r="G41" s="35">
        <f t="shared" si="1"/>
        <v>51.666666666666664</v>
      </c>
      <c r="H41" s="46">
        <f t="shared" si="2"/>
        <v>46.810823870500116</v>
      </c>
      <c r="I41" s="37">
        <f t="shared" si="3"/>
        <v>0.6418219461697722</v>
      </c>
      <c r="J41" s="37">
        <f t="shared" si="4"/>
        <v>0.6226711826152983</v>
      </c>
    </row>
    <row r="42" spans="1:10" ht="12.75">
      <c r="A42" s="63">
        <v>8</v>
      </c>
      <c r="B42" s="26">
        <v>200</v>
      </c>
      <c r="C42" s="35">
        <f t="shared" si="0"/>
        <v>127.58666666666664</v>
      </c>
      <c r="D42" s="29"/>
      <c r="E42" s="29"/>
      <c r="F42" s="29"/>
      <c r="G42" s="35" t="e">
        <f t="shared" si="1"/>
        <v>#DIV/0!</v>
      </c>
      <c r="H42" s="46" t="e">
        <f t="shared" si="2"/>
        <v>#DIV/0!</v>
      </c>
      <c r="I42" s="37" t="e">
        <f t="shared" si="3"/>
        <v>#DIV/0!</v>
      </c>
      <c r="J42" s="37" t="e">
        <f t="shared" si="4"/>
        <v>#DIV/0!</v>
      </c>
    </row>
    <row r="43" spans="1:10" ht="12.75">
      <c r="A43" s="63">
        <v>9</v>
      </c>
      <c r="B43" s="26">
        <v>200</v>
      </c>
      <c r="C43" s="35">
        <f t="shared" si="0"/>
        <v>113.46666666666665</v>
      </c>
      <c r="D43" s="29">
        <v>58</v>
      </c>
      <c r="E43" s="29">
        <v>42</v>
      </c>
      <c r="F43" s="29">
        <v>45</v>
      </c>
      <c r="G43" s="35">
        <f t="shared" si="1"/>
        <v>48.333333333333336</v>
      </c>
      <c r="H43" s="46">
        <f t="shared" si="2"/>
        <v>42.59694477085782</v>
      </c>
      <c r="I43" s="37">
        <f t="shared" si="3"/>
        <v>0.6004140786749483</v>
      </c>
      <c r="J43" s="37">
        <f t="shared" si="4"/>
        <v>0.566618738641423</v>
      </c>
    </row>
    <row r="44" spans="1:10" ht="12.75">
      <c r="A44" s="63">
        <v>10</v>
      </c>
      <c r="B44" s="26">
        <v>200</v>
      </c>
      <c r="C44" s="35">
        <f t="shared" si="0"/>
        <v>117.02666666666666</v>
      </c>
      <c r="D44" s="29">
        <v>64</v>
      </c>
      <c r="E44" s="29">
        <v>68</v>
      </c>
      <c r="F44" s="29">
        <v>81</v>
      </c>
      <c r="G44" s="35">
        <f t="shared" si="1"/>
        <v>71</v>
      </c>
      <c r="H44" s="46">
        <f t="shared" si="2"/>
        <v>60.66993277885383</v>
      </c>
      <c r="I44" s="37">
        <f t="shared" si="3"/>
        <v>0.8819875776397516</v>
      </c>
      <c r="J44" s="37">
        <f t="shared" si="4"/>
        <v>0.8070231555229401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 t="str">
        <f>Parameters!$B$1</f>
        <v>Dec., 26, 2000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9">
        <f>CoulterSurvival!I35</f>
        <v>1</v>
      </c>
      <c r="E13" s="59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9"/>
      <c r="E14" s="59"/>
    </row>
    <row r="15" spans="1:5" ht="12.75">
      <c r="A15" s="20">
        <v>3</v>
      </c>
      <c r="B15" s="46">
        <f>MediumActivity!J15</f>
        <v>104.3336238418038</v>
      </c>
      <c r="C15" s="46">
        <f>CellSuspension!J15/(CoulterSurvival!F15*Parameters!$B$14)*1000000</f>
        <v>1.317401373577075</v>
      </c>
      <c r="D15" s="37">
        <f>CoulterSurvival!I37</f>
        <v>0.8778467908902692</v>
      </c>
      <c r="E15" s="37">
        <f>CoulterSurvival!J37</f>
        <v>0.8378877558402368</v>
      </c>
    </row>
    <row r="16" spans="1:5" ht="12.75">
      <c r="A16" s="20">
        <v>4</v>
      </c>
      <c r="B16" s="46">
        <f>MediumActivity!J16</f>
        <v>203.55928594057823</v>
      </c>
      <c r="C16" s="46">
        <f>CellSuspension!J16/(CoulterSurvival!F16*Parameters!$B$14)*1000000</f>
        <v>1.6433355026901337</v>
      </c>
      <c r="D16" s="37">
        <f>CoulterSurvival!I38</f>
        <v>0.7784679089026914</v>
      </c>
      <c r="E16" s="37">
        <f>CoulterSurvival!J38</f>
        <v>0.7873898962717275</v>
      </c>
    </row>
    <row r="17" spans="1:5" ht="12.75">
      <c r="A17" s="20">
        <v>5</v>
      </c>
      <c r="B17" s="46">
        <f>MediumActivity!J17</f>
        <v>380.9899967655911</v>
      </c>
      <c r="C17" s="46">
        <f>CellSuspension!J17/(CoulterSurvival!F17*Parameters!$B$14)*1000000</f>
        <v>2.987997627276745</v>
      </c>
      <c r="D17" s="37">
        <f>CoulterSurvival!I39</f>
        <v>0.968944099378882</v>
      </c>
      <c r="E17" s="37">
        <f>CoulterSurvival!J39</f>
        <v>0.9058894135170896</v>
      </c>
    </row>
    <row r="18" spans="1:5" ht="12.75">
      <c r="A18" s="20">
        <v>6</v>
      </c>
      <c r="B18" s="46">
        <f>MediumActivity!J18</f>
        <v>586.3343905146015</v>
      </c>
      <c r="C18" s="46">
        <f>CellSuspension!J18/(CoulterSurvival!F18*Parameters!$B$14)*1000000</f>
        <v>4.369122715808531</v>
      </c>
      <c r="D18" s="37">
        <f>CoulterSurvival!I40</f>
        <v>0.2815734989648034</v>
      </c>
      <c r="E18" s="37">
        <f>CoulterSurvival!J40</f>
        <v>0.30098719155947495</v>
      </c>
    </row>
    <row r="19" spans="1:5" ht="12.75">
      <c r="A19" s="20">
        <v>7</v>
      </c>
      <c r="B19" s="46">
        <f>MediumActivity!J19</f>
        <v>853.0079526897657</v>
      </c>
      <c r="C19" s="46">
        <f>CellSuspension!J19/(CoulterSurvival!F19*Parameters!$B$14)*1000000</f>
        <v>6.575854657508576</v>
      </c>
      <c r="D19" s="37">
        <f>CoulterSurvival!I41</f>
        <v>0.6418219461697722</v>
      </c>
      <c r="E19" s="37">
        <f>CoulterSurvival!J41</f>
        <v>0.6226711826152983</v>
      </c>
    </row>
    <row r="20" spans="1:5" ht="12.75">
      <c r="A20" s="20">
        <v>8</v>
      </c>
      <c r="B20" s="46">
        <f>MediumActivity!J20</f>
        <v>993.5646741232331</v>
      </c>
      <c r="C20" s="46">
        <f>CellSuspension!J20/(CoulterSurvival!F20*Parameters!$B$14)*1000000</f>
        <v>5.75707121254921</v>
      </c>
      <c r="D20" s="37" t="e">
        <f>CoulterSurvival!I42</f>
        <v>#DIV/0!</v>
      </c>
      <c r="E20" s="37" t="e">
        <f>CoulterSurvival!J42</f>
        <v>#DIV/0!</v>
      </c>
    </row>
    <row r="21" spans="1:5" ht="12.75">
      <c r="A21" s="20">
        <v>9</v>
      </c>
      <c r="B21" s="46">
        <f>MediumActivity!J21</f>
        <v>1195.0040020518502</v>
      </c>
      <c r="C21" s="46">
        <f>CellSuspension!J21/(CoulterSurvival!F21*Parameters!$B$14)*1000000</f>
        <v>6.71356622404786</v>
      </c>
      <c r="D21" s="37">
        <f>CoulterSurvival!I43</f>
        <v>0.6004140786749483</v>
      </c>
      <c r="E21" s="37">
        <f>CoulterSurvival!J43</f>
        <v>0.566618738641423</v>
      </c>
    </row>
    <row r="22" spans="1:5" ht="12.75">
      <c r="A22" s="20">
        <v>10</v>
      </c>
      <c r="B22" s="46">
        <f>MediumActivity!J22</f>
        <v>1561.8949528860287</v>
      </c>
      <c r="C22" s="46">
        <f>CellSuspension!J22/(CoulterSurvival!F22*Parameters!$B$14)*1000000</f>
        <v>8.736894220017406</v>
      </c>
      <c r="D22" s="37">
        <f>CoulterSurvival!I44</f>
        <v>0.8819875776397516</v>
      </c>
      <c r="E22" s="37">
        <f>CoulterSurvival!J44</f>
        <v>0.8070231555229401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10" sqref="D10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  <col min="5" max="5" width="10.140625" style="0" bestFit="1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 t="str">
        <f>Parameters!$B$1</f>
        <v>Dec., 26, 2000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9">
        <f>CoulterSurvival!I35</f>
        <v>1</v>
      </c>
      <c r="E13" s="59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9"/>
      <c r="E14" s="59"/>
    </row>
    <row r="15" spans="1:5" ht="12.75">
      <c r="A15" s="20">
        <v>3</v>
      </c>
      <c r="B15" s="46">
        <f>MediumActivity!J15</f>
        <v>104.3336238418038</v>
      </c>
      <c r="C15" s="46">
        <f>CellSuspension!J15/(CoulterSurvival!F15*Parameters!$B$14)*1000000</f>
        <v>1.317401373577075</v>
      </c>
      <c r="D15" s="37">
        <f>CoulterSurvival!I37</f>
        <v>0.8778467908902692</v>
      </c>
      <c r="E15" s="37">
        <f>CoulterSurvival!J37</f>
        <v>0.8378877558402368</v>
      </c>
    </row>
    <row r="16" spans="1:5" ht="12.75">
      <c r="A16" s="20">
        <v>4</v>
      </c>
      <c r="B16" s="46">
        <f>MediumActivity!J16</f>
        <v>203.55928594057823</v>
      </c>
      <c r="C16" s="46">
        <f>CellSuspension!J16/(CoulterSurvival!F16*Parameters!$B$14)*1000000</f>
        <v>1.6433355026901337</v>
      </c>
      <c r="D16" s="37">
        <f>CoulterSurvival!I38</f>
        <v>0.7784679089026914</v>
      </c>
      <c r="E16" s="37">
        <f>CoulterSurvival!J38</f>
        <v>0.7873898962717275</v>
      </c>
    </row>
    <row r="17" spans="1:5" ht="12.75">
      <c r="A17" s="20">
        <v>5</v>
      </c>
      <c r="B17" s="46">
        <f>MediumActivity!J17</f>
        <v>380.9899967655911</v>
      </c>
      <c r="C17" s="46">
        <f>CellSuspension!J17/(CoulterSurvival!F17*Parameters!$B$14)*1000000</f>
        <v>2.987997627276745</v>
      </c>
      <c r="D17" s="37">
        <f>CoulterSurvival!I39</f>
        <v>0.968944099378882</v>
      </c>
      <c r="E17" s="37">
        <f>CoulterSurvival!J39</f>
        <v>0.9058894135170896</v>
      </c>
    </row>
    <row r="18" spans="1:5" ht="12.75">
      <c r="A18" s="20">
        <v>6</v>
      </c>
      <c r="B18" s="46">
        <f>MediumActivity!J18</f>
        <v>586.3343905146015</v>
      </c>
      <c r="C18" s="46">
        <f>CellSuspension!J18/(CoulterSurvival!F18*Parameters!$B$14)*1000000</f>
        <v>4.369122715808531</v>
      </c>
      <c r="D18" s="37">
        <f>CoulterSurvival!I40</f>
        <v>0.2815734989648034</v>
      </c>
      <c r="E18" s="37">
        <f>CoulterSurvival!J40</f>
        <v>0.30098719155947495</v>
      </c>
    </row>
    <row r="19" spans="1:5" ht="12.75">
      <c r="A19" s="20">
        <v>7</v>
      </c>
      <c r="B19" s="46">
        <f>MediumActivity!J19</f>
        <v>853.0079526897657</v>
      </c>
      <c r="C19" s="46">
        <f>CellSuspension!J19/(CoulterSurvival!F19*Parameters!$B$14)*1000000</f>
        <v>6.575854657508576</v>
      </c>
      <c r="D19" s="37">
        <f>CoulterSurvival!I41</f>
        <v>0.6418219461697722</v>
      </c>
      <c r="E19" s="37">
        <f>CoulterSurvival!J41</f>
        <v>0.6226711826152983</v>
      </c>
    </row>
    <row r="20" spans="1:5" ht="12.75">
      <c r="A20" s="20">
        <v>8</v>
      </c>
      <c r="B20" s="46">
        <f>MediumActivity!J20</f>
        <v>993.5646741232331</v>
      </c>
      <c r="C20" s="46">
        <f>CellSuspension!J20/(CoulterSurvival!F20*Parameters!$B$14)*1000000</f>
        <v>5.75707121254921</v>
      </c>
      <c r="D20" s="37" t="e">
        <f>CoulterSurvival!I42</f>
        <v>#DIV/0!</v>
      </c>
      <c r="E20" s="37" t="e">
        <f>CoulterSurvival!J42</f>
        <v>#DIV/0!</v>
      </c>
    </row>
    <row r="21" spans="1:5" ht="12.75">
      <c r="A21" s="20">
        <v>9</v>
      </c>
      <c r="B21" s="46">
        <f>MediumActivity!J21</f>
        <v>1195.0040020518502</v>
      </c>
      <c r="C21" s="46">
        <f>CellSuspension!J21/(CoulterSurvival!F21*Parameters!$B$14)*1000000</f>
        <v>6.71356622404786</v>
      </c>
      <c r="D21" s="37">
        <f>CoulterSurvival!I43</f>
        <v>0.6004140786749483</v>
      </c>
      <c r="E21" s="37">
        <f>CoulterSurvival!J43</f>
        <v>0.566618738641423</v>
      </c>
    </row>
    <row r="22" spans="1:5" ht="12.75">
      <c r="A22" s="20">
        <v>10</v>
      </c>
      <c r="B22" s="46">
        <f>MediumActivity!J22</f>
        <v>1561.8949528860287</v>
      </c>
      <c r="C22" s="46">
        <f>CellSuspension!J22/(CoulterSurvival!F22*Parameters!$B$14)*1000000</f>
        <v>8.736894220017406</v>
      </c>
      <c r="D22" s="37">
        <f>CoulterSurvival!I44</f>
        <v>0.8819875776397516</v>
      </c>
      <c r="E22" s="37">
        <f>CoulterSurvival!J44</f>
        <v>0.8070231555229401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 W. Howell</Manager>
  <Company>UMDNJ - New Jersey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10 Tube Experiment</dc:title>
  <dc:subject/>
  <dc:creator>Roger W. Howell</dc:creator>
  <cp:keywords/>
  <dc:description/>
  <cp:lastModifiedBy>Roger W. Howell</cp:lastModifiedBy>
  <cp:lastPrinted>2001-02-07T21:00:08Z</cp:lastPrinted>
  <dcterms:created xsi:type="dcterms:W3CDTF">2000-10-11T19:44:58Z</dcterms:created>
  <dcterms:modified xsi:type="dcterms:W3CDTF">2001-02-07T21:00:14Z</dcterms:modified>
  <cp:category>Data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0 Tube">
    <vt:lpwstr>Version 2.0</vt:lpwstr>
  </property>
</Properties>
</file>