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CoulterSurvival" sheetId="2" r:id="rId2"/>
    <sheet name="MediumActivity" sheetId="3" r:id="rId3"/>
    <sheet name="CellSuspension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<sst xmlns="http://schemas.openxmlformats.org/spreadsheetml/2006/main" count="164" uniqueCount="108">
  <si>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</si>
  <si>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</si>
  <si>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</si>
  <si>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</si>
  <si>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</si>
  <si>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</si>
  <si>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</si>
  <si>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</si>
  <si>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</si>
  <si>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</si>
  <si>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</si>
  <si>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</si>
  <si>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</si>
  <si>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</si>
  <si>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</si>
  <si>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</si>
  <si>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</si>
  <si>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</si>
  <si>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</si>
  <si>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</si>
  <si>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</si>
  <si>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</si>
  <si>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</si>
  <si>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</si>
  <si>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</si>
  <si>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</si>
  <si>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</si>
  <si>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</si>
  <si>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</si>
  <si>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</si>
  <si>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</si>
  <si>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</si>
  <si>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</si>
  <si>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</si>
  <si>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</si>
  <si>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</si>
  <si>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</si>
  <si>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</si>
  <si>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</si>
  <si>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</si>
  <si>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</si>
  <si>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</si>
  <si>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</si>
  <si>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</si>
  <si>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</si>
  <si>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</si>
  <si>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</si>
  <si>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</si>
  <si>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</si>
  <si>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</si>
  <si>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</si>
  <si>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</si>
  <si>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</si>
  <si>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</si>
  <si>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</si>
  <si>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</si>
  <si>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</si>
  <si>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</si>
  <si>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</si>
  <si>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</si>
  <si>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</si>
  <si>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</si>
  <si>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</si>
  <si>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</si>
  <si>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</si>
  <si>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</si>
  <si>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</si>
  <si>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</si>
  <si>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</si>
  <si>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</si>
  <si>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</si>
  <si>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</si>
  <si>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</si>
  <si>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</si>
  <si>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</si>
  <si>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</si>
  <si>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</si>
  <si>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</si>
  <si>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</si>
  <si>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</si>
  <si>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</si>
  <si>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</si>
  <si>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</si>
  <si>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</si>
  <si>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</si>
  <si>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</si>
  <si>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</si>
  <si>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</si>
  <si>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</si>
  <si>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</si>
  <si>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</si>
  <si>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V79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</si>
  <si>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</si>
  <si>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</si>
  <si>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</si>
  <si>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</si>
  <si>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</si>
  <si>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</si>
  <si>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</si>
  <si>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Feb., 05, 2001</t>
  </si>
  <si>
    <t>01/24/01/ 12:00</t>
  </si>
  <si>
    <t>Feb., 05, 2001/ 18:30</t>
  </si>
  <si>
    <t>Feb., 06, 2001/ 10:00</t>
  </si>
  <si>
    <t>Feb., 12, 2001/ 12:51</t>
  </si>
  <si>
    <t>Feb., 11, 2001/ 16:52</t>
  </si>
  <si>
    <t># of cell plated</t>
  </si>
  <si>
    <t># of colonies</t>
  </si>
  <si>
    <t>AbsPE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</si>
</sst>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3227895"/>
        <c:axId val="29051056"/>
      </c:scatterChart>
      <c:val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51056"/>
        <c:crossesAt val="0.001"/>
        <c:crossBetween val="midCat"/>
        <c:dispUnits/>
      </c:valAx>
      <c:valAx>
        <c:axId val="290510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60132913"/>
        <c:axId val="4325306"/>
      </c:scatterChart>
      <c:valAx>
        <c:axId val="60132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5306"/>
        <c:crosses val="autoZero"/>
        <c:crossBetween val="midCat"/>
        <c:dispUnits/>
      </c:valAx>
      <c:valAx>
        <c:axId val="43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'Unprotected Summary'!$D$7:$D$8</c:f>
              <c:strCache>
                <c:ptCount val="1"/>
                <c:pt idx="0">
                  <c:v>Survival Uncorrected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'Unprotected Summary'!$C$13:$C$22</c:f>
              <c:numCache/>
            </c:numRef>
          </c:xVal>
          <c:yVal>
            <c:numRef>
              <c:f>'Unprotected Summary'!$D$13:$D$22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1.4663585023702264</c:v>
                </c:pt>
                <c:pt idx="3">
                  <c:v>3.349175826064195</c:v>
                </c:pt>
                <c:pt idx="4">
                  <c:v>6.420359136918381</c:v>
                </c:pt>
                <c:pt idx="5">
                  <c:v>9.88622918316876</c:v>
                </c:pt>
                <c:pt idx="6">
                  <c:v>15.67645344752657</c:v>
                </c:pt>
                <c:pt idx="7">
                  <c:v>22.686785185627304</c:v>
                </c:pt>
                <c:pt idx="8">
                  <c:v>21.667551479737234</c:v>
                </c:pt>
                <c:pt idx="9">
                  <c:v>29.400034137873465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0.6721520859991725</c:v>
                </c:pt>
                <c:pt idx="3">
                  <c:v>0.8309624031511541</c:v>
                </c:pt>
                <c:pt idx="4">
                  <c:v>0.5960479095952808</c:v>
                </c:pt>
                <c:pt idx="5">
                  <c:v>0.6801781222209645</c:v>
                </c:pt>
                <c:pt idx="6">
                  <c:v>0.4682134389123122</c:v>
                </c:pt>
                <c:pt idx="7">
                  <c:v>0.8898028118137734</c:v>
                </c:pt>
                <c:pt idx="8">
                  <c:v>0.47839670955274094</c:v>
                </c:pt>
                <c:pt idx="9">
                  <c:v>0.8196767375541005</c:v>
                </c:pt>
              </c:numCache>
            </c:numRef>
          </c:yVal>
          <c:smooth val="0"/>
        </c:ser>
        <c:axId val="38927755"/>
        <c:axId val="14805476"/>
      </c:scatterChart>
      <c:val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05476"/>
        <c:crossesAt val="0.001"/>
        <c:crossBetween val="midCat"/>
        <c:dispUnits/>
      </c:valAx>
      <c:valAx>
        <c:axId val="148054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53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48.67736294598449</c:v>
                </c:pt>
                <c:pt idx="3">
                  <c:v>111.46558410962221</c:v>
                </c:pt>
                <c:pt idx="4">
                  <c:v>218.30997088450147</c:v>
                </c:pt>
                <c:pt idx="5">
                  <c:v>341.83755452983826</c:v>
                </c:pt>
                <c:pt idx="6">
                  <c:v>430.0728058653384</c:v>
                </c:pt>
                <c:pt idx="7">
                  <c:v>588.0268622773094</c:v>
                </c:pt>
                <c:pt idx="8">
                  <c:v>679.451477009263</c:v>
                </c:pt>
                <c:pt idx="9">
                  <c:v>858.4511109151512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1.4663585023702264</c:v>
                </c:pt>
                <c:pt idx="3">
                  <c:v>3.349175826064195</c:v>
                </c:pt>
                <c:pt idx="4">
                  <c:v>6.420359136918381</c:v>
                </c:pt>
                <c:pt idx="5">
                  <c:v>9.88622918316876</c:v>
                </c:pt>
                <c:pt idx="6">
                  <c:v>15.67645344752657</c:v>
                </c:pt>
                <c:pt idx="7">
                  <c:v>22.686785185627304</c:v>
                </c:pt>
                <c:pt idx="8">
                  <c:v>21.667551479737234</c:v>
                </c:pt>
                <c:pt idx="9">
                  <c:v>29.400034137873465</c:v>
                </c:pt>
              </c:numCache>
            </c:numRef>
          </c:yVal>
          <c:smooth val="0"/>
        </c:ser>
        <c:axId val="66140421"/>
        <c:axId val="58392878"/>
      </c:scatterChart>
      <c:valAx>
        <c:axId val="6614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392878"/>
        <c:crosses val="autoZero"/>
        <c:crossBetween val="midCat"/>
        <c:dispUnits/>
      </c:valAx>
      <c:valAx>
        <c:axId val="5839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6140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B30" sqref="B30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99</v>
      </c>
    </row>
    <row r="2" ht="12.75">
      <c r="B2" s="61"/>
    </row>
    <row r="3" spans="1:2" ht="12.75">
      <c r="A3" s="24" t="s">
        <v>15</v>
      </c>
      <c r="B3" s="48" t="s">
        <v>99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 t="s">
        <v>100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99</v>
      </c>
      <c r="C13" s="20" t="s">
        <v>89</v>
      </c>
      <c r="D13" s="57">
        <v>65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36.631514196573235</v>
      </c>
    </row>
    <row r="15" ht="12.75">
      <c r="B15" s="61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97</v>
      </c>
    </row>
    <row r="19" spans="1:2" ht="12.75">
      <c r="A19" s="24" t="s">
        <v>36</v>
      </c>
      <c r="B19" s="50" t="s">
        <v>98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101</v>
      </c>
    </row>
    <row r="23" spans="1:4" ht="12.75">
      <c r="A23" s="24" t="s">
        <v>24</v>
      </c>
      <c r="B23" s="48" t="s">
        <v>102</v>
      </c>
      <c r="C23" s="20" t="s">
        <v>29</v>
      </c>
      <c r="D23" s="27">
        <v>14.5</v>
      </c>
    </row>
    <row r="24" spans="1:4" ht="12.75">
      <c r="A24" s="24" t="s">
        <v>69</v>
      </c>
      <c r="B24" s="48" t="s">
        <v>103</v>
      </c>
      <c r="C24" s="20" t="s">
        <v>30</v>
      </c>
      <c r="D24" s="27">
        <v>162.5</v>
      </c>
    </row>
    <row r="25" spans="1:4" ht="12.75">
      <c r="A25" s="24" t="s">
        <v>70</v>
      </c>
      <c r="B25" s="48" t="s">
        <v>104</v>
      </c>
      <c r="C25" s="20" t="s">
        <v>71</v>
      </c>
      <c r="D25" s="27">
        <v>127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13</v>
      </c>
      <c r="E32" s="54">
        <v>13</v>
      </c>
      <c r="F32" s="55">
        <v>13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F13" sqref="F13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Feb., 05,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Feb., 05,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9086</v>
      </c>
      <c r="C13" s="28">
        <v>8946</v>
      </c>
      <c r="D13" s="28">
        <v>9076</v>
      </c>
      <c r="E13" s="34">
        <f>IF(Parameters!$B$33="Yes",AVERAGE(G13:J13),AVERAGE(B13:D13))</f>
        <v>9036</v>
      </c>
      <c r="F13" s="34">
        <f>IF(Parameters!$B$33="Yes",E13*10000,(E13-Parameters!$B$31)*Parameters!$B$32*(100/Parameters!$B$29)*(500/Parameters!$B$30))</f>
        <v>3609200</v>
      </c>
      <c r="G13" s="26"/>
      <c r="H13" s="26"/>
      <c r="I13" s="26"/>
      <c r="J13" s="26"/>
    </row>
    <row r="14" spans="1:10" ht="12.75">
      <c r="A14" s="63">
        <v>2</v>
      </c>
      <c r="B14" s="28">
        <v>8917</v>
      </c>
      <c r="C14" s="28">
        <v>8917</v>
      </c>
      <c r="D14" s="28">
        <v>8867</v>
      </c>
      <c r="E14" s="34">
        <f>IF(Parameters!$B$33="Yes",AVERAGE(G14:J14),AVERAGE(B14:D14))</f>
        <v>8900.333333333334</v>
      </c>
      <c r="F14" s="34">
        <f>IF(Parameters!$B$33="Yes",E14*10000,(E14-Parameters!$B$31)*Parameters!$B$32*(100/Parameters!$B$29)*(500/Parameters!$B$30))</f>
        <v>3554933.3333333335</v>
      </c>
      <c r="G14" s="26"/>
      <c r="H14" s="26"/>
      <c r="I14" s="26"/>
      <c r="J14" s="26"/>
    </row>
    <row r="15" spans="1:10" ht="12.75">
      <c r="A15" s="62">
        <v>3</v>
      </c>
      <c r="B15" s="29">
        <v>8917</v>
      </c>
      <c r="C15" s="29">
        <v>9114</v>
      </c>
      <c r="D15" s="29">
        <v>9002</v>
      </c>
      <c r="E15" s="35">
        <f>IF(Parameters!$B$33="Yes",AVERAGE(G15:J15),AVERAGE(B15:D15))</f>
        <v>9011</v>
      </c>
      <c r="F15" s="35">
        <f>IF(Parameters!$B$33="Yes",E15*10000,(E15-Parameters!$B$31)*Parameters!$B$32*(100/Parameters!$B$29)*(500/Parameters!$B$30))</f>
        <v>3599200</v>
      </c>
      <c r="G15" s="26"/>
      <c r="H15" s="26"/>
      <c r="I15" s="26"/>
      <c r="J15" s="26"/>
    </row>
    <row r="16" spans="1:10" ht="12.75">
      <c r="A16" s="62">
        <v>4</v>
      </c>
      <c r="B16" s="29">
        <v>9448</v>
      </c>
      <c r="C16" s="29">
        <v>9392</v>
      </c>
      <c r="D16" s="29">
        <v>9363</v>
      </c>
      <c r="E16" s="35">
        <f>IF(Parameters!$B$33="Yes",AVERAGE(G16:J16),AVERAGE(B16:D16))</f>
        <v>9401</v>
      </c>
      <c r="F16" s="35">
        <f>IF(Parameters!$B$33="Yes",E16*10000,(E16-Parameters!$B$31)*Parameters!$B$32*(100/Parameters!$B$29)*(500/Parameters!$B$30))</f>
        <v>3755200</v>
      </c>
      <c r="G16" s="26"/>
      <c r="H16" s="26"/>
      <c r="I16" s="26"/>
      <c r="J16" s="26"/>
    </row>
    <row r="17" spans="1:10" ht="12.75">
      <c r="A17" s="62">
        <v>5</v>
      </c>
      <c r="B17" s="29">
        <v>8884</v>
      </c>
      <c r="C17" s="29">
        <v>8632</v>
      </c>
      <c r="D17" s="29">
        <v>8699</v>
      </c>
      <c r="E17" s="35">
        <f>IF(Parameters!$B$33="Yes",AVERAGE(G17:J17),AVERAGE(B17:D17))</f>
        <v>8738.333333333334</v>
      </c>
      <c r="F17" s="35">
        <f>IF(Parameters!$B$33="Yes",E17*10000,(E17-Parameters!$B$31)*Parameters!$B$32*(100/Parameters!$B$29)*(500/Parameters!$B$30))</f>
        <v>3490133.3333333335</v>
      </c>
      <c r="G17" s="26"/>
      <c r="H17" s="26"/>
      <c r="I17" s="26"/>
      <c r="J17" s="26"/>
    </row>
    <row r="18" spans="1:10" ht="12.75">
      <c r="A18" s="62">
        <v>6</v>
      </c>
      <c r="B18" s="29">
        <v>8078</v>
      </c>
      <c r="C18" s="29">
        <v>8171</v>
      </c>
      <c r="D18" s="29">
        <v>8017</v>
      </c>
      <c r="E18" s="35">
        <f>IF(Parameters!$B$33="Yes",AVERAGE(G18:J18),AVERAGE(B18:D18))</f>
        <v>8088.666666666667</v>
      </c>
      <c r="F18" s="35">
        <f>IF(Parameters!$B$33="Yes",E18*10000,(E18-Parameters!$B$31)*Parameters!$B$32*(100/Parameters!$B$29)*(500/Parameters!$B$30))</f>
        <v>3230266.666666667</v>
      </c>
      <c r="G18" s="26"/>
      <c r="H18" s="26"/>
      <c r="I18" s="26"/>
      <c r="J18" s="26"/>
    </row>
    <row r="19" spans="1:10" ht="12.75">
      <c r="A19" s="62">
        <v>7</v>
      </c>
      <c r="B19" s="29">
        <v>7868</v>
      </c>
      <c r="C19" s="29">
        <v>7929</v>
      </c>
      <c r="D19" s="29">
        <v>7830</v>
      </c>
      <c r="E19" s="35">
        <f>IF(Parameters!$B$33="Yes",AVERAGE(G19:J19),AVERAGE(B19:D19))</f>
        <v>7875.666666666667</v>
      </c>
      <c r="F19" s="35">
        <f>IF(Parameters!$B$33="Yes",E19*10000,(E19-Parameters!$B$31)*Parameters!$B$32*(100/Parameters!$B$29)*(500/Parameters!$B$30))</f>
        <v>3145066.666666667</v>
      </c>
      <c r="G19" s="26"/>
      <c r="H19" s="26"/>
      <c r="I19" s="26"/>
      <c r="J19" s="26"/>
    </row>
    <row r="20" spans="1:10" ht="12.75">
      <c r="A20" s="62">
        <v>8</v>
      </c>
      <c r="B20" s="29">
        <v>8354</v>
      </c>
      <c r="C20" s="29">
        <v>8632</v>
      </c>
      <c r="D20" s="29">
        <v>8271</v>
      </c>
      <c r="E20" s="35">
        <f>IF(Parameters!$B$33="Yes",AVERAGE(G20:J20),AVERAGE(B20:D20))</f>
        <v>8419</v>
      </c>
      <c r="F20" s="35">
        <f>IF(Parameters!$B$33="Yes",E20*10000,(E20-Parameters!$B$31)*Parameters!$B$32*(100/Parameters!$B$29)*(500/Parameters!$B$30))</f>
        <v>3362400</v>
      </c>
      <c r="G20" s="26"/>
      <c r="H20" s="26"/>
      <c r="I20" s="26"/>
      <c r="J20" s="26"/>
    </row>
    <row r="21" spans="1:10" ht="12.75">
      <c r="A21" s="62">
        <v>9</v>
      </c>
      <c r="B21" s="29">
        <v>8760</v>
      </c>
      <c r="C21" s="29">
        <v>8515</v>
      </c>
      <c r="D21" s="29">
        <v>8415</v>
      </c>
      <c r="E21" s="35">
        <f>IF(Parameters!$B$33="Yes",AVERAGE(G21:J21),AVERAGE(B21:D21))</f>
        <v>8563.333333333334</v>
      </c>
      <c r="F21" s="35">
        <f>IF(Parameters!$B$33="Yes",E21*10000,(E21-Parameters!$B$31)*Parameters!$B$32*(100/Parameters!$B$29)*(500/Parameters!$B$30))</f>
        <v>3420133.3333333335</v>
      </c>
      <c r="G21" s="26"/>
      <c r="H21" s="26"/>
      <c r="I21" s="26"/>
      <c r="J21" s="26"/>
    </row>
    <row r="22" spans="1:10" ht="12.75">
      <c r="A22" s="62">
        <v>10</v>
      </c>
      <c r="B22" s="29">
        <v>6490</v>
      </c>
      <c r="C22" s="29">
        <v>6666</v>
      </c>
      <c r="D22" s="29">
        <v>6773</v>
      </c>
      <c r="E22" s="35">
        <f>IF(Parameters!$B$33="Yes",AVERAGE(G22:J22),AVERAGE(B22:D22))</f>
        <v>6643</v>
      </c>
      <c r="F22" s="35">
        <f>IF(Parameters!$B$33="Yes",E22*10000,(E22-Parameters!$B$31)*Parameters!$B$32*(100/Parameters!$B$29)*(500/Parameters!$B$30))</f>
        <v>2652000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360.92</v>
      </c>
      <c r="D35" s="28">
        <v>80</v>
      </c>
      <c r="E35" s="28">
        <v>102</v>
      </c>
      <c r="F35" s="28">
        <v>105</v>
      </c>
      <c r="G35" s="34">
        <f>AVERAGE(D35:F36)</f>
        <v>102.16666666666667</v>
      </c>
      <c r="H35" s="44">
        <f>G35/AVERAGE($C$35,$C$36)*100</f>
        <v>28.521709999813886</v>
      </c>
      <c r="I35" s="59">
        <f>G35*200/B35/$G$35</f>
        <v>1.0000000000000002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355.49333333333334</v>
      </c>
      <c r="D36" s="28">
        <v>120</v>
      </c>
      <c r="E36" s="28">
        <v>105</v>
      </c>
      <c r="F36" s="28">
        <v>101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359.92</v>
      </c>
      <c r="D37" s="29">
        <v>53</v>
      </c>
      <c r="E37" s="29">
        <v>72</v>
      </c>
      <c r="F37" s="29">
        <v>82</v>
      </c>
      <c r="G37" s="35">
        <f aca="true" t="shared" si="1" ref="G37:G44">AVERAGE(D37:F37)</f>
        <v>69</v>
      </c>
      <c r="H37" s="46">
        <f aca="true" t="shared" si="2" ref="H37:H44">G37/C37*100</f>
        <v>19.170926872638365</v>
      </c>
      <c r="I37" s="37">
        <f aca="true" t="shared" si="3" ref="I37:I44">G37*200/B37/$G$35</f>
        <v>0.6753670473083198</v>
      </c>
      <c r="J37" s="37">
        <f>(G37/C37)/($G$35/AVERAGE($C$35,$C$36))</f>
        <v>0.6721520859991725</v>
      </c>
    </row>
    <row r="38" spans="1:10" ht="12.75">
      <c r="A38" s="62">
        <v>4</v>
      </c>
      <c r="B38" s="26">
        <v>200</v>
      </c>
      <c r="C38" s="35">
        <f t="shared" si="0"/>
        <v>375.52</v>
      </c>
      <c r="D38" s="29">
        <v>88</v>
      </c>
      <c r="E38" s="29">
        <v>92</v>
      </c>
      <c r="F38" s="29">
        <v>87</v>
      </c>
      <c r="G38" s="35">
        <f t="shared" si="1"/>
        <v>89</v>
      </c>
      <c r="H38" s="46">
        <f t="shared" si="2"/>
        <v>23.70046868342565</v>
      </c>
      <c r="I38" s="37">
        <f t="shared" si="3"/>
        <v>0.8711256117455138</v>
      </c>
      <c r="J38" s="37">
        <f aca="true" t="shared" si="4" ref="J38:J44">(G38/C38)/($G$35/AVERAGE($C$35,$C$36))</f>
        <v>0.8309624031511541</v>
      </c>
    </row>
    <row r="39" spans="1:10" ht="12.75">
      <c r="A39" s="62">
        <v>5</v>
      </c>
      <c r="B39" s="26">
        <v>200</v>
      </c>
      <c r="C39" s="35">
        <f t="shared" si="0"/>
        <v>349.0133333333333</v>
      </c>
      <c r="D39" s="29">
        <v>50</v>
      </c>
      <c r="E39" s="29">
        <v>64</v>
      </c>
      <c r="F39" s="29">
        <v>64</v>
      </c>
      <c r="G39" s="35">
        <f t="shared" si="1"/>
        <v>59.333333333333336</v>
      </c>
      <c r="H39" s="46">
        <f t="shared" si="2"/>
        <v>17.000305623471885</v>
      </c>
      <c r="I39" s="37">
        <f t="shared" si="3"/>
        <v>0.5807504078303426</v>
      </c>
      <c r="J39" s="37">
        <f t="shared" si="4"/>
        <v>0.5960479095952808</v>
      </c>
    </row>
    <row r="40" spans="1:10" ht="12.75">
      <c r="A40" s="62">
        <v>6</v>
      </c>
      <c r="B40" s="26">
        <v>200</v>
      </c>
      <c r="C40" s="35">
        <f t="shared" si="0"/>
        <v>323.0266666666667</v>
      </c>
      <c r="D40" s="29">
        <v>67</v>
      </c>
      <c r="E40" s="29">
        <v>59</v>
      </c>
      <c r="F40" s="29">
        <v>62</v>
      </c>
      <c r="G40" s="35">
        <f t="shared" si="1"/>
        <v>62.666666666666664</v>
      </c>
      <c r="H40" s="46">
        <f t="shared" si="2"/>
        <v>19.399843150204315</v>
      </c>
      <c r="I40" s="37">
        <f t="shared" si="3"/>
        <v>0.6133768352365415</v>
      </c>
      <c r="J40" s="37">
        <f t="shared" si="4"/>
        <v>0.6801781222209645</v>
      </c>
    </row>
    <row r="41" spans="1:10" ht="12.75">
      <c r="A41" s="62">
        <v>7</v>
      </c>
      <c r="B41" s="26">
        <v>200</v>
      </c>
      <c r="C41" s="35">
        <f t="shared" si="0"/>
        <v>314.5066666666667</v>
      </c>
      <c r="D41" s="29">
        <v>38</v>
      </c>
      <c r="E41" s="29">
        <v>45</v>
      </c>
      <c r="F41" s="29">
        <v>43</v>
      </c>
      <c r="G41" s="35">
        <f t="shared" si="1"/>
        <v>42</v>
      </c>
      <c r="H41" s="46">
        <f t="shared" si="2"/>
        <v>13.354247922672544</v>
      </c>
      <c r="I41" s="37">
        <f t="shared" si="3"/>
        <v>0.4110929853181077</v>
      </c>
      <c r="J41" s="37">
        <f t="shared" si="4"/>
        <v>0.4682134389123122</v>
      </c>
    </row>
    <row r="42" spans="1:10" ht="12.75">
      <c r="A42" s="62">
        <v>8</v>
      </c>
      <c r="B42" s="26">
        <v>200</v>
      </c>
      <c r="C42" s="35">
        <f t="shared" si="0"/>
        <v>336.24</v>
      </c>
      <c r="D42" s="29">
        <v>92</v>
      </c>
      <c r="E42" s="29">
        <v>83</v>
      </c>
      <c r="F42" s="29">
        <v>81</v>
      </c>
      <c r="G42" s="35">
        <f t="shared" si="1"/>
        <v>85.33333333333333</v>
      </c>
      <c r="H42" s="46">
        <f t="shared" si="2"/>
        <v>25.378697755571416</v>
      </c>
      <c r="I42" s="37">
        <f t="shared" si="3"/>
        <v>0.8352365415986948</v>
      </c>
      <c r="J42" s="37">
        <f t="shared" si="4"/>
        <v>0.8898028118137734</v>
      </c>
    </row>
    <row r="43" spans="1:10" ht="12.75">
      <c r="A43" s="62">
        <v>9</v>
      </c>
      <c r="B43" s="26">
        <v>200</v>
      </c>
      <c r="C43" s="35">
        <f t="shared" si="0"/>
        <v>342.0133333333333</v>
      </c>
      <c r="D43" s="29">
        <v>52</v>
      </c>
      <c r="E43" s="29">
        <v>42</v>
      </c>
      <c r="F43" s="29">
        <v>46</v>
      </c>
      <c r="G43" s="35">
        <f t="shared" si="1"/>
        <v>46.666666666666664</v>
      </c>
      <c r="H43" s="46">
        <f t="shared" si="2"/>
        <v>13.64469221472847</v>
      </c>
      <c r="I43" s="37">
        <f t="shared" si="3"/>
        <v>0.4567699836867862</v>
      </c>
      <c r="J43" s="37">
        <f t="shared" si="4"/>
        <v>0.47839670955274094</v>
      </c>
    </row>
    <row r="44" spans="1:10" ht="12.75">
      <c r="A44" s="62">
        <v>10</v>
      </c>
      <c r="B44" s="26">
        <v>200</v>
      </c>
      <c r="C44" s="35">
        <f t="shared" si="0"/>
        <v>265.2</v>
      </c>
      <c r="D44" s="29">
        <v>71</v>
      </c>
      <c r="E44" s="29">
        <v>60</v>
      </c>
      <c r="F44" s="29">
        <v>55</v>
      </c>
      <c r="G44" s="35">
        <f t="shared" si="1"/>
        <v>62</v>
      </c>
      <c r="H44" s="46">
        <f t="shared" si="2"/>
        <v>23.378582202111613</v>
      </c>
      <c r="I44" s="37">
        <f t="shared" si="3"/>
        <v>0.6068515497553018</v>
      </c>
      <c r="J44" s="37">
        <f t="shared" si="4"/>
        <v>0.8196767375541005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Feb., 05,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Feb., 05,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10</v>
      </c>
      <c r="C13" s="28">
        <v>7</v>
      </c>
      <c r="D13" s="28">
        <v>6</v>
      </c>
      <c r="E13" s="34">
        <f>AVERAGE(B13:D13,B14:D14)</f>
        <v>10.166666666666666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11</v>
      </c>
      <c r="C14" s="28">
        <v>15</v>
      </c>
      <c r="D14" s="28">
        <v>12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55380</v>
      </c>
      <c r="C15" s="29">
        <v>55270</v>
      </c>
      <c r="D15" s="29">
        <v>60060</v>
      </c>
      <c r="E15" s="35">
        <f>AVERAGE(B15:D15)</f>
        <v>56903.333333333336</v>
      </c>
      <c r="F15" s="36">
        <f>(E15-E13)</f>
        <v>56893.16666666667</v>
      </c>
      <c r="G15" s="35">
        <f>F15/(Parameters!$B$9*Parameters!$B$20)</f>
        <v>87527.94871794872</v>
      </c>
      <c r="H15" s="37">
        <f>G15/(37000*60*Parameters!$B$26/1000)</f>
        <v>1.3142334642334643</v>
      </c>
      <c r="I15" s="37">
        <f>H15/EXP(-0.693*Parameters!$D$24/(Parameters!$B$8*24))</f>
        <v>1.3156044039455268</v>
      </c>
      <c r="J15" s="37">
        <f>I15*37</f>
        <v>48.67736294598449</v>
      </c>
      <c r="O15" s="2"/>
      <c r="P15" s="9"/>
      <c r="Q15" s="2"/>
      <c r="R15" s="1"/>
    </row>
    <row r="16" spans="1:18" ht="12.75">
      <c r="A16" s="20">
        <v>4</v>
      </c>
      <c r="B16" s="29">
        <v>127660</v>
      </c>
      <c r="C16" s="29">
        <v>130927</v>
      </c>
      <c r="D16" s="29">
        <v>132280</v>
      </c>
      <c r="E16" s="35">
        <f aca="true" t="shared" si="0" ref="E16:E22">AVERAGE(B16:D16)</f>
        <v>130289</v>
      </c>
      <c r="F16" s="36">
        <f>E16-E13</f>
        <v>130278.83333333333</v>
      </c>
      <c r="G16" s="35">
        <f>F16/(Parameters!$B$9*Parameters!$B$20)</f>
        <v>200428.97435897434</v>
      </c>
      <c r="H16" s="37">
        <f>G16/(37000*60*Parameters!$B$26/1000)</f>
        <v>3.0094440594440592</v>
      </c>
      <c r="I16" s="37">
        <f>H16/EXP(-0.693*Parameters!$D$24/(Parameters!$B$8*24))</f>
        <v>3.012583354314114</v>
      </c>
      <c r="J16" s="37">
        <f aca="true" t="shared" si="1" ref="J16:J22">I16*37</f>
        <v>111.46558410962221</v>
      </c>
      <c r="O16" s="2"/>
      <c r="P16" s="9"/>
      <c r="Q16" s="2"/>
      <c r="R16" s="1"/>
    </row>
    <row r="17" spans="1:18" ht="12.75">
      <c r="A17" s="20">
        <v>5</v>
      </c>
      <c r="B17" s="29">
        <v>257960</v>
      </c>
      <c r="C17" s="29">
        <v>254100</v>
      </c>
      <c r="D17" s="29">
        <v>253440</v>
      </c>
      <c r="E17" s="35">
        <f t="shared" si="0"/>
        <v>255166.66666666666</v>
      </c>
      <c r="F17" s="36">
        <f>E17-E13</f>
        <v>255156.5</v>
      </c>
      <c r="G17" s="35">
        <f>F17/(Parameters!$B$9*Parameters!$B$20)</f>
        <v>392548.4615384615</v>
      </c>
      <c r="H17" s="37">
        <f>G17/(37000*60*Parameters!$B$26/1000)</f>
        <v>5.894121044121044</v>
      </c>
      <c r="I17" s="37">
        <f>H17/EXP(-0.693*Parameters!$D$24/(Parameters!$B$8*24))</f>
        <v>5.900269483364904</v>
      </c>
      <c r="J17" s="37">
        <f t="shared" si="1"/>
        <v>218.30997088450147</v>
      </c>
      <c r="O17" s="2"/>
      <c r="P17" s="9"/>
      <c r="Q17" s="2"/>
      <c r="R17" s="1"/>
    </row>
    <row r="18" spans="1:18" ht="12.75">
      <c r="A18" s="20">
        <v>6</v>
      </c>
      <c r="B18" s="29">
        <v>403730</v>
      </c>
      <c r="C18" s="29">
        <v>398813</v>
      </c>
      <c r="D18" s="29">
        <v>396087</v>
      </c>
      <c r="E18" s="35">
        <f t="shared" si="0"/>
        <v>399543.3333333333</v>
      </c>
      <c r="F18" s="36">
        <f>E18-E13</f>
        <v>399533.1666666666</v>
      </c>
      <c r="G18" s="35">
        <f>F18/(Parameters!$B$9*Parameters!$B$20)</f>
        <v>614666.4102564101</v>
      </c>
      <c r="H18" s="37">
        <f>G18/(37000*60*Parameters!$B$26/1000)</f>
        <v>9.229225379225378</v>
      </c>
      <c r="I18" s="37">
        <f>H18/EXP(-0.693*Parameters!$D$24/(Parameters!$B$8*24))</f>
        <v>9.238852825130763</v>
      </c>
      <c r="J18" s="37">
        <f t="shared" si="1"/>
        <v>341.83755452983826</v>
      </c>
      <c r="O18" s="2"/>
      <c r="P18" s="9"/>
      <c r="Q18" s="2"/>
      <c r="R18" s="1"/>
    </row>
    <row r="19" spans="1:18" ht="12.75">
      <c r="A19" s="20">
        <v>7</v>
      </c>
      <c r="B19" s="29">
        <v>521920</v>
      </c>
      <c r="C19" s="29">
        <v>462053</v>
      </c>
      <c r="D19" s="29">
        <v>524040</v>
      </c>
      <c r="E19" s="35">
        <f t="shared" si="0"/>
        <v>502671</v>
      </c>
      <c r="F19" s="36">
        <f>E19-E13</f>
        <v>502660.8333333333</v>
      </c>
      <c r="G19" s="35">
        <f>F19/(Parameters!$B$9*Parameters!$B$20)</f>
        <v>773324.3589743589</v>
      </c>
      <c r="H19" s="37">
        <f>G19/(37000*60*Parameters!$B$26/1000)</f>
        <v>11.61147686147686</v>
      </c>
      <c r="I19" s="37">
        <f>H19/EXP(-0.693*Parameters!$D$24/(Parameters!$B$8*24))</f>
        <v>11.62358934771185</v>
      </c>
      <c r="J19" s="37">
        <f t="shared" si="1"/>
        <v>430.0728058653384</v>
      </c>
      <c r="O19" s="2"/>
      <c r="P19" s="9"/>
      <c r="Q19" s="2"/>
      <c r="R19" s="1"/>
    </row>
    <row r="20" spans="1:18" ht="12.75">
      <c r="A20" s="20">
        <v>8</v>
      </c>
      <c r="B20" s="29">
        <v>683567</v>
      </c>
      <c r="C20" s="29">
        <v>699367</v>
      </c>
      <c r="D20" s="29">
        <v>678920</v>
      </c>
      <c r="E20" s="35">
        <f t="shared" si="0"/>
        <v>687284.6666666666</v>
      </c>
      <c r="F20" s="36">
        <f>E20-E13</f>
        <v>687274.5</v>
      </c>
      <c r="G20" s="35">
        <f>F20/(Parameters!$B$9*Parameters!$B$20)</f>
        <v>1057345.3846153845</v>
      </c>
      <c r="H20" s="37">
        <f>G20/(37000*60*Parameters!$B$26/1000)</f>
        <v>15.876056826056825</v>
      </c>
      <c r="I20" s="37">
        <f>H20/EXP(-0.693*Parameters!$D$24/(Parameters!$B$8*24))</f>
        <v>15.89261789938674</v>
      </c>
      <c r="J20" s="37">
        <f t="shared" si="1"/>
        <v>588.0268622773094</v>
      </c>
      <c r="O20" s="2"/>
      <c r="P20" s="9"/>
      <c r="Q20" s="2"/>
      <c r="R20" s="1"/>
    </row>
    <row r="21" spans="1:18" ht="12.75">
      <c r="A21" s="20">
        <v>9</v>
      </c>
      <c r="B21" s="29">
        <v>802080</v>
      </c>
      <c r="C21" s="29">
        <v>788240</v>
      </c>
      <c r="D21" s="29">
        <v>792100</v>
      </c>
      <c r="E21" s="35">
        <f t="shared" si="0"/>
        <v>794140</v>
      </c>
      <c r="F21" s="36">
        <f>E21-E13</f>
        <v>794129.8333333334</v>
      </c>
      <c r="G21" s="35">
        <f>F21/(Parameters!$B$9*Parameters!$B$20)</f>
        <v>1221738.2051282052</v>
      </c>
      <c r="H21" s="37">
        <f>G21/(37000*60*Parameters!$B$26/1000)</f>
        <v>18.344417494417495</v>
      </c>
      <c r="I21" s="37">
        <f>H21/EXP(-0.693*Parameters!$D$24/(Parameters!$B$8*24))</f>
        <v>18.363553432682785</v>
      </c>
      <c r="J21" s="37">
        <f t="shared" si="1"/>
        <v>679.451477009263</v>
      </c>
      <c r="O21" s="2"/>
      <c r="P21" s="9"/>
      <c r="Q21" s="2"/>
      <c r="R21" s="1"/>
    </row>
    <row r="22" spans="1:18" ht="12.75">
      <c r="A22" s="20">
        <v>10</v>
      </c>
      <c r="B22" s="29">
        <v>999007</v>
      </c>
      <c r="C22" s="29">
        <v>1029127</v>
      </c>
      <c r="D22" s="29">
        <v>981920</v>
      </c>
      <c r="E22" s="35">
        <f t="shared" si="0"/>
        <v>1003351.3333333334</v>
      </c>
      <c r="F22" s="36">
        <f>E22-E13</f>
        <v>1003341.1666666667</v>
      </c>
      <c r="G22" s="35">
        <f>F22/(Parameters!$B$9*Parameters!$B$20)</f>
        <v>1543601.794871795</v>
      </c>
      <c r="H22" s="37">
        <f>G22/(37000*60*Parameters!$B$26/1000)</f>
        <v>23.177204127204128</v>
      </c>
      <c r="I22" s="37">
        <f>H22/EXP(-0.693*Parameters!$D$24/(Parameters!$B$8*24))</f>
        <v>23.201381376085166</v>
      </c>
      <c r="J22" s="37">
        <f t="shared" si="1"/>
        <v>858.4511109151512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Feb., 05,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Feb., 05,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8</v>
      </c>
      <c r="D13" s="28">
        <v>9</v>
      </c>
      <c r="E13" s="34">
        <f>AVERAGE(B13:D14)</f>
        <v>8.833333333333334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8</v>
      </c>
      <c r="C14" s="28">
        <v>7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9553</v>
      </c>
      <c r="C15" s="29">
        <v>7807</v>
      </c>
      <c r="D15" s="29">
        <v>13516</v>
      </c>
      <c r="E15" s="35">
        <f aca="true" t="shared" si="1" ref="E15:E22">AVERAGE(B15:D15)</f>
        <v>10292</v>
      </c>
      <c r="F15" s="35">
        <f>E15-$E$13</f>
        <v>10283.166666666666</v>
      </c>
      <c r="G15" s="35">
        <f>F15/(Parameters!$B$9*Parameters!$B$20)</f>
        <v>15820.256410256408</v>
      </c>
      <c r="H15" s="42">
        <f>G15/(37000*60*Parameters!$B$27/1000)</f>
        <v>0.07126241626241625</v>
      </c>
      <c r="I15" s="42">
        <f>H15/EXP(-0.693*(Parameters!$D$25)/(Parameters!$B$8*24))</f>
        <v>0.07132050705041783</v>
      </c>
      <c r="J15" s="37">
        <f t="shared" si="0"/>
        <v>2.6388587608654595</v>
      </c>
    </row>
    <row r="16" spans="1:10" ht="12.75">
      <c r="A16" s="20">
        <v>4</v>
      </c>
      <c r="B16" s="29">
        <v>23609</v>
      </c>
      <c r="C16" s="29">
        <v>25523</v>
      </c>
      <c r="D16" s="29">
        <v>24409</v>
      </c>
      <c r="E16" s="35">
        <f t="shared" si="1"/>
        <v>24513.666666666668</v>
      </c>
      <c r="F16" s="35">
        <f aca="true" t="shared" si="2" ref="F16:F22">E16-$E$13</f>
        <v>24504.833333333336</v>
      </c>
      <c r="G16" s="35">
        <f>F16/(Parameters!$B$9*Parameters!$B$20)</f>
        <v>37699.74358974359</v>
      </c>
      <c r="H16" s="42">
        <f>G16/(37000*60*Parameters!$B$27/1000)</f>
        <v>0.16981866481866484</v>
      </c>
      <c r="I16" s="42">
        <f>H16/EXP(-0.693*(Parameters!$D$25)/(Parameters!$B$8*24))</f>
        <v>0.1699570954329225</v>
      </c>
      <c r="J16" s="37">
        <f t="shared" si="0"/>
        <v>6.288412531018133</v>
      </c>
    </row>
    <row r="17" spans="1:10" ht="12.75">
      <c r="A17" s="20">
        <v>5</v>
      </c>
      <c r="B17" s="29">
        <v>39430</v>
      </c>
      <c r="C17" s="29">
        <v>48472</v>
      </c>
      <c r="D17" s="29">
        <v>43104</v>
      </c>
      <c r="E17" s="35">
        <f t="shared" si="1"/>
        <v>43668.666666666664</v>
      </c>
      <c r="F17" s="35">
        <f t="shared" si="2"/>
        <v>43659.83333333333</v>
      </c>
      <c r="G17" s="35">
        <f>F17/(Parameters!$B$9*Parameters!$B$20)</f>
        <v>67168.97435897434</v>
      </c>
      <c r="H17" s="42">
        <f>G17/(37000*60*Parameters!$B$27/1000)</f>
        <v>0.3025629475629475</v>
      </c>
      <c r="I17" s="42">
        <f>H17/EXP(-0.693*(Parameters!$D$25)/(Parameters!$B$8*24))</f>
        <v>0.3028095869693253</v>
      </c>
      <c r="J17" s="37">
        <f t="shared" si="0"/>
        <v>11.203954717865036</v>
      </c>
    </row>
    <row r="18" spans="1:10" ht="12.75">
      <c r="A18" s="20">
        <v>6</v>
      </c>
      <c r="B18" s="29">
        <v>64355</v>
      </c>
      <c r="C18" s="29">
        <v>61235</v>
      </c>
      <c r="D18" s="29">
        <v>61105</v>
      </c>
      <c r="E18" s="35">
        <f t="shared" si="1"/>
        <v>62231.666666666664</v>
      </c>
      <c r="F18" s="35">
        <f t="shared" si="2"/>
        <v>62222.83333333333</v>
      </c>
      <c r="G18" s="35">
        <f>F18/(Parameters!$B$9*Parameters!$B$20)</f>
        <v>95727.43589743589</v>
      </c>
      <c r="H18" s="42">
        <f>G18/(37000*60*Parameters!$B$27/1000)</f>
        <v>0.4312046662046662</v>
      </c>
      <c r="I18" s="42">
        <f>H18/EXP(-0.693*(Parameters!$D$25)/(Parameters!$B$8*24))</f>
        <v>0.4315561701272605</v>
      </c>
      <c r="J18" s="37">
        <f t="shared" si="0"/>
        <v>15.967578294708638</v>
      </c>
    </row>
    <row r="19" spans="1:10" ht="12.75">
      <c r="A19" s="20">
        <v>7</v>
      </c>
      <c r="B19" s="29">
        <v>92960</v>
      </c>
      <c r="C19" s="29">
        <v>86607</v>
      </c>
      <c r="D19" s="29">
        <v>108650</v>
      </c>
      <c r="E19" s="35">
        <f t="shared" si="1"/>
        <v>96072.33333333333</v>
      </c>
      <c r="F19" s="35">
        <f t="shared" si="2"/>
        <v>96063.5</v>
      </c>
      <c r="G19" s="35">
        <f>F19/(Parameters!$B$9*Parameters!$B$20)</f>
        <v>147790</v>
      </c>
      <c r="H19" s="42">
        <f>G19/(37000*60*Parameters!$B$27/1000)</f>
        <v>0.6657207207207207</v>
      </c>
      <c r="I19" s="42">
        <f>H19/EXP(-0.693*(Parameters!$D$25)/(Parameters!$B$8*24))</f>
        <v>0.6662633944509131</v>
      </c>
      <c r="J19" s="37">
        <f t="shared" si="0"/>
        <v>24.651745594683785</v>
      </c>
    </row>
    <row r="20" spans="1:10" ht="12.75">
      <c r="A20" s="20">
        <v>8</v>
      </c>
      <c r="B20" s="29">
        <v>151833</v>
      </c>
      <c r="C20" s="29">
        <v>147033</v>
      </c>
      <c r="D20" s="29">
        <v>147047</v>
      </c>
      <c r="E20" s="35">
        <f t="shared" si="1"/>
        <v>148637.66666666666</v>
      </c>
      <c r="F20" s="35">
        <f t="shared" si="2"/>
        <v>148628.8333333333</v>
      </c>
      <c r="G20" s="35">
        <f>F20/(Parameters!$B$9*Parameters!$B$20)</f>
        <v>228659.74358974356</v>
      </c>
      <c r="H20" s="42">
        <f>G20/(37000*60*Parameters!$B$27/1000)</f>
        <v>1.0299988449988449</v>
      </c>
      <c r="I20" s="42">
        <f>H20/EXP(-0.693*(Parameters!$D$25)/(Parameters!$B$8*24))</f>
        <v>1.0308384663263952</v>
      </c>
      <c r="J20" s="37">
        <f t="shared" si="0"/>
        <v>38.14102325407662</v>
      </c>
    </row>
    <row r="21" spans="1:10" ht="12.75">
      <c r="A21" s="20">
        <v>9</v>
      </c>
      <c r="B21" s="29">
        <v>145993</v>
      </c>
      <c r="C21" s="29">
        <v>181700</v>
      </c>
      <c r="D21" s="29">
        <v>105500</v>
      </c>
      <c r="E21" s="35">
        <f t="shared" si="1"/>
        <v>144397.66666666666</v>
      </c>
      <c r="F21" s="35">
        <f t="shared" si="2"/>
        <v>144388.8333333333</v>
      </c>
      <c r="G21" s="35">
        <f>F21/(Parameters!$B$9*Parameters!$B$20)</f>
        <v>222136.66666666663</v>
      </c>
      <c r="H21" s="42">
        <f>G21/(37000*60*Parameters!$B$27/1000)</f>
        <v>1.0006156156156154</v>
      </c>
      <c r="I21" s="42">
        <f>H21/EXP(-0.693*(Parameters!$D$25)/(Parameters!$B$8*24))</f>
        <v>1.0014312846968285</v>
      </c>
      <c r="J21" s="37">
        <f t="shared" si="0"/>
        <v>37.05295753378265</v>
      </c>
    </row>
    <row r="22" spans="1:10" ht="12.75">
      <c r="A22" s="20">
        <v>10</v>
      </c>
      <c r="B22" s="29">
        <v>128640</v>
      </c>
      <c r="C22" s="29">
        <v>141320</v>
      </c>
      <c r="D22" s="29">
        <v>185813</v>
      </c>
      <c r="E22" s="35">
        <f t="shared" si="1"/>
        <v>151924.33333333334</v>
      </c>
      <c r="F22" s="35">
        <f t="shared" si="2"/>
        <v>151915.5</v>
      </c>
      <c r="G22" s="35">
        <f>F22/(Parameters!$B$9*Parameters!$B$20)</f>
        <v>233716.15384615384</v>
      </c>
      <c r="H22" s="42">
        <f>G22/(37000*60*Parameters!$B$27/1000)</f>
        <v>1.0527754677754677</v>
      </c>
      <c r="I22" s="42">
        <f>H22/EXP(-0.693*(Parameters!$D$25)/(Parameters!$B$8*24))</f>
        <v>1.053633655860006</v>
      </c>
      <c r="J22" s="37">
        <f t="shared" si="0"/>
        <v>38.98444526682022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05,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1.0000000000000002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48.67736294598449</v>
      </c>
      <c r="C15" s="46">
        <f>CellSuspension!J15/(CoulterSurvival!F15*Parameters!$B$14)*1000000</f>
        <v>1.4663585023702264</v>
      </c>
      <c r="D15" s="37">
        <f>CoulterSurvival!I37</f>
        <v>0.6753670473083198</v>
      </c>
      <c r="E15" s="37">
        <f>CoulterSurvival!J37</f>
        <v>0.6721520859991725</v>
      </c>
    </row>
    <row r="16" spans="1:5" ht="12.75">
      <c r="A16" s="20">
        <v>4</v>
      </c>
      <c r="B16" s="46">
        <f>MediumActivity!J16</f>
        <v>111.46558410962221</v>
      </c>
      <c r="C16" s="46">
        <f>CellSuspension!J16/(CoulterSurvival!F16*Parameters!$B$14)*1000000</f>
        <v>3.349175826064195</v>
      </c>
      <c r="D16" s="37">
        <f>CoulterSurvival!I38</f>
        <v>0.8711256117455138</v>
      </c>
      <c r="E16" s="37">
        <f>CoulterSurvival!J38</f>
        <v>0.8309624031511541</v>
      </c>
    </row>
    <row r="17" spans="1:5" ht="12.75">
      <c r="A17" s="20">
        <v>5</v>
      </c>
      <c r="B17" s="46">
        <f>MediumActivity!J17</f>
        <v>218.30997088450147</v>
      </c>
      <c r="C17" s="46">
        <f>CellSuspension!J17/(CoulterSurvival!F17*Parameters!$B$14)*1000000</f>
        <v>6.420359136918381</v>
      </c>
      <c r="D17" s="37">
        <f>CoulterSurvival!I39</f>
        <v>0.5807504078303426</v>
      </c>
      <c r="E17" s="37">
        <f>CoulterSurvival!J39</f>
        <v>0.5960479095952808</v>
      </c>
    </row>
    <row r="18" spans="1:5" ht="12.75">
      <c r="A18" s="20">
        <v>6</v>
      </c>
      <c r="B18" s="46">
        <f>MediumActivity!J18</f>
        <v>341.83755452983826</v>
      </c>
      <c r="C18" s="46">
        <f>CellSuspension!J18/(CoulterSurvival!F18*Parameters!$B$14)*1000000</f>
        <v>9.88622918316876</v>
      </c>
      <c r="D18" s="37">
        <f>CoulterSurvival!I40</f>
        <v>0.6133768352365415</v>
      </c>
      <c r="E18" s="37">
        <f>CoulterSurvival!J40</f>
        <v>0.6801781222209645</v>
      </c>
    </row>
    <row r="19" spans="1:5" ht="12.75">
      <c r="A19" s="20">
        <v>7</v>
      </c>
      <c r="B19" s="46">
        <f>MediumActivity!J19</f>
        <v>430.0728058653384</v>
      </c>
      <c r="C19" s="46">
        <f>CellSuspension!J19/(CoulterSurvival!F19*Parameters!$B$14)*1000000</f>
        <v>15.67645344752657</v>
      </c>
      <c r="D19" s="37">
        <f>CoulterSurvival!I41</f>
        <v>0.4110929853181077</v>
      </c>
      <c r="E19" s="37">
        <f>CoulterSurvival!J41</f>
        <v>0.4682134389123122</v>
      </c>
    </row>
    <row r="20" spans="1:5" ht="12.75">
      <c r="A20" s="20">
        <v>8</v>
      </c>
      <c r="B20" s="46">
        <f>MediumActivity!J20</f>
        <v>588.0268622773094</v>
      </c>
      <c r="C20" s="46">
        <f>CellSuspension!J20/(CoulterSurvival!F20*Parameters!$B$14)*1000000</f>
        <v>22.686785185627304</v>
      </c>
      <c r="D20" s="37">
        <f>CoulterSurvival!I42</f>
        <v>0.8352365415986948</v>
      </c>
      <c r="E20" s="37">
        <f>CoulterSurvival!J42</f>
        <v>0.8898028118137734</v>
      </c>
    </row>
    <row r="21" spans="1:5" ht="12.75">
      <c r="A21" s="20">
        <v>9</v>
      </c>
      <c r="B21" s="46">
        <f>MediumActivity!J21</f>
        <v>679.451477009263</v>
      </c>
      <c r="C21" s="46">
        <f>CellSuspension!J21/(CoulterSurvival!F21*Parameters!$B$14)*1000000</f>
        <v>21.667551479737234</v>
      </c>
      <c r="D21" s="37">
        <f>CoulterSurvival!I43</f>
        <v>0.4567699836867862</v>
      </c>
      <c r="E21" s="37">
        <f>CoulterSurvival!J43</f>
        <v>0.47839670955274094</v>
      </c>
    </row>
    <row r="22" spans="1:5" ht="12.75">
      <c r="A22" s="20">
        <v>10</v>
      </c>
      <c r="B22" s="46">
        <f>MediumActivity!J22</f>
        <v>858.4511109151512</v>
      </c>
      <c r="C22" s="46">
        <f>CellSuspension!J22/(CoulterSurvival!F22*Parameters!$B$14)*1000000</f>
        <v>29.400034137873465</v>
      </c>
      <c r="D22" s="37">
        <f>CoulterSurvival!I44</f>
        <v>0.6068515497553018</v>
      </c>
      <c r="E22" s="37">
        <f>CoulterSurvival!J44</f>
        <v>0.8196767375541005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B1">
      <selection activeCell="M17" sqref="M17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05,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1.0000000000000002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48.67736294598449</v>
      </c>
      <c r="C15" s="46">
        <f>CellSuspension!J15/(CoulterSurvival!F15*Parameters!$B$14)*1000000</f>
        <v>1.4663585023702264</v>
      </c>
      <c r="D15" s="37">
        <f>CoulterSurvival!I37</f>
        <v>0.6753670473083198</v>
      </c>
      <c r="E15" s="37">
        <f>CoulterSurvival!J37</f>
        <v>0.6721520859991725</v>
      </c>
    </row>
    <row r="16" spans="1:5" ht="12.75">
      <c r="A16" s="20">
        <v>4</v>
      </c>
      <c r="B16" s="46">
        <f>MediumActivity!J16</f>
        <v>111.46558410962221</v>
      </c>
      <c r="C16" s="46">
        <f>CellSuspension!J16/(CoulterSurvival!F16*Parameters!$B$14)*1000000</f>
        <v>3.349175826064195</v>
      </c>
      <c r="D16" s="37">
        <f>CoulterSurvival!I38</f>
        <v>0.8711256117455138</v>
      </c>
      <c r="E16" s="37">
        <f>CoulterSurvival!J38</f>
        <v>0.8309624031511541</v>
      </c>
    </row>
    <row r="17" spans="1:5" ht="12.75">
      <c r="A17" s="20">
        <v>5</v>
      </c>
      <c r="B17" s="46">
        <f>MediumActivity!J17</f>
        <v>218.30997088450147</v>
      </c>
      <c r="C17" s="46">
        <f>CellSuspension!J17/(CoulterSurvival!F17*Parameters!$B$14)*1000000</f>
        <v>6.420359136918381</v>
      </c>
      <c r="D17" s="37">
        <f>CoulterSurvival!I39</f>
        <v>0.5807504078303426</v>
      </c>
      <c r="E17" s="37">
        <f>CoulterSurvival!J39</f>
        <v>0.5960479095952808</v>
      </c>
    </row>
    <row r="18" spans="1:5" ht="12.75">
      <c r="A18" s="20">
        <v>6</v>
      </c>
      <c r="B18" s="46">
        <f>MediumActivity!J18</f>
        <v>341.83755452983826</v>
      </c>
      <c r="C18" s="46">
        <f>CellSuspension!J18/(CoulterSurvival!F18*Parameters!$B$14)*1000000</f>
        <v>9.88622918316876</v>
      </c>
      <c r="D18" s="37">
        <f>CoulterSurvival!I40</f>
        <v>0.6133768352365415</v>
      </c>
      <c r="E18" s="37">
        <f>CoulterSurvival!J40</f>
        <v>0.6801781222209645</v>
      </c>
    </row>
    <row r="19" spans="1:5" ht="12.75">
      <c r="A19" s="20">
        <v>7</v>
      </c>
      <c r="B19" s="46">
        <f>MediumActivity!J19</f>
        <v>430.0728058653384</v>
      </c>
      <c r="C19" s="46">
        <f>CellSuspension!J19/(CoulterSurvival!F19*Parameters!$B$14)*1000000</f>
        <v>15.67645344752657</v>
      </c>
      <c r="D19" s="37">
        <f>CoulterSurvival!I41</f>
        <v>0.4110929853181077</v>
      </c>
      <c r="E19" s="37">
        <f>CoulterSurvival!J41</f>
        <v>0.4682134389123122</v>
      </c>
    </row>
    <row r="20" spans="1:5" ht="12.75">
      <c r="A20" s="20">
        <v>8</v>
      </c>
      <c r="B20" s="46">
        <f>MediumActivity!J20</f>
        <v>588.0268622773094</v>
      </c>
      <c r="C20" s="46">
        <f>CellSuspension!J20/(CoulterSurvival!F20*Parameters!$B$14)*1000000</f>
        <v>22.686785185627304</v>
      </c>
      <c r="D20" s="37">
        <f>CoulterSurvival!I42</f>
        <v>0.8352365415986948</v>
      </c>
      <c r="E20" s="37">
        <f>CoulterSurvival!J42</f>
        <v>0.8898028118137734</v>
      </c>
    </row>
    <row r="21" spans="1:5" ht="12.75">
      <c r="A21" s="20">
        <v>9</v>
      </c>
      <c r="B21" s="46">
        <f>MediumActivity!J21</f>
        <v>679.451477009263</v>
      </c>
      <c r="C21" s="46">
        <f>CellSuspension!J21/(CoulterSurvival!F21*Parameters!$B$14)*1000000</f>
        <v>21.667551479737234</v>
      </c>
      <c r="D21" s="37">
        <f>CoulterSurvival!I43</f>
        <v>0.4567699836867862</v>
      </c>
      <c r="E21" s="37">
        <f>CoulterSurvival!J43</f>
        <v>0.47839670955274094</v>
      </c>
    </row>
    <row r="22" spans="1:5" ht="12.75">
      <c r="A22" s="20">
        <v>10</v>
      </c>
      <c r="B22" s="46">
        <f>MediumActivity!J22</f>
        <v>858.4511109151512</v>
      </c>
      <c r="C22" s="46">
        <f>CellSuspension!J22/(CoulterSurvival!F22*Parameters!$B$14)*1000000</f>
        <v>29.400034137873465</v>
      </c>
      <c r="D22" s="37">
        <f>CoulterSurvival!I44</f>
        <v>0.6068515497553018</v>
      </c>
      <c r="E22" s="37">
        <f>CoulterSurvival!J44</f>
        <v>0.8196767375541005</v>
      </c>
    </row>
    <row r="24" spans="1:5" ht="12.75">
      <c r="A24" s="20">
        <v>1</v>
      </c>
      <c r="B24" s="26">
        <v>200</v>
      </c>
      <c r="C24" s="34">
        <v>102</v>
      </c>
      <c r="D24" s="65">
        <f>C24/B24</f>
        <v>0.51</v>
      </c>
      <c r="E24">
        <f>D24/D24</f>
        <v>1</v>
      </c>
    </row>
    <row r="25" spans="1:4" ht="12.75">
      <c r="A25" s="20">
        <v>2</v>
      </c>
      <c r="B25" s="26">
        <v>200</v>
      </c>
      <c r="C25" s="34"/>
      <c r="D25" s="65"/>
    </row>
    <row r="26" spans="1:5" ht="12.75">
      <c r="A26" s="20">
        <v>3</v>
      </c>
      <c r="B26" s="26">
        <v>200</v>
      </c>
      <c r="C26" s="35">
        <v>69</v>
      </c>
      <c r="D26" s="65">
        <f>C26/B26</f>
        <v>0.345</v>
      </c>
      <c r="E26" s="65">
        <f>D26/D24</f>
        <v>0.676470588235294</v>
      </c>
    </row>
    <row r="27" spans="1:5" ht="12.75">
      <c r="A27" s="20">
        <v>4</v>
      </c>
      <c r="B27" s="26">
        <v>200</v>
      </c>
      <c r="C27" s="35">
        <v>89</v>
      </c>
      <c r="D27" s="65">
        <f aca="true" t="shared" si="0" ref="D26:D33">C27/B27</f>
        <v>0.445</v>
      </c>
      <c r="E27" s="65">
        <f>D27/D24</f>
        <v>0.8725490196078431</v>
      </c>
    </row>
    <row r="28" spans="1:5" ht="12.75">
      <c r="A28" s="20">
        <v>5</v>
      </c>
      <c r="B28" s="26">
        <v>200</v>
      </c>
      <c r="C28" s="35">
        <v>59</v>
      </c>
      <c r="D28" s="65">
        <f t="shared" si="0"/>
        <v>0.295</v>
      </c>
      <c r="E28" s="65">
        <f>D28/D24</f>
        <v>0.5784313725490196</v>
      </c>
    </row>
    <row r="29" spans="1:5" ht="12.75">
      <c r="A29" s="20">
        <v>6</v>
      </c>
      <c r="B29" s="26">
        <v>200</v>
      </c>
      <c r="C29" s="35">
        <v>63</v>
      </c>
      <c r="D29" s="65">
        <f t="shared" si="0"/>
        <v>0.315</v>
      </c>
      <c r="E29" s="65">
        <f>D29/D24</f>
        <v>0.6176470588235294</v>
      </c>
    </row>
    <row r="30" spans="1:5" ht="12.75">
      <c r="A30" s="20">
        <v>7</v>
      </c>
      <c r="B30" s="26">
        <v>200</v>
      </c>
      <c r="C30" s="35">
        <v>42</v>
      </c>
      <c r="D30" s="65">
        <f t="shared" si="0"/>
        <v>0.21</v>
      </c>
      <c r="E30" s="65">
        <f>D30/D24</f>
        <v>0.4117647058823529</v>
      </c>
    </row>
    <row r="31" spans="1:5" ht="12.75">
      <c r="A31" s="20">
        <v>8</v>
      </c>
      <c r="B31" s="26">
        <v>200</v>
      </c>
      <c r="C31" s="35">
        <v>85</v>
      </c>
      <c r="D31" s="65">
        <f t="shared" si="0"/>
        <v>0.425</v>
      </c>
      <c r="E31" s="65">
        <f>D31/D24</f>
        <v>0.8333333333333333</v>
      </c>
    </row>
    <row r="32" spans="1:5" ht="12.75">
      <c r="A32" s="20">
        <v>9</v>
      </c>
      <c r="B32" s="26">
        <v>200</v>
      </c>
      <c r="C32" s="35">
        <v>47</v>
      </c>
      <c r="D32" s="65">
        <f t="shared" si="0"/>
        <v>0.235</v>
      </c>
      <c r="E32" s="65">
        <f>D32/D24</f>
        <v>0.46078431372549017</v>
      </c>
    </row>
    <row r="33" spans="1:5" ht="12.75">
      <c r="A33" s="20">
        <v>10</v>
      </c>
      <c r="B33" s="26">
        <v>200</v>
      </c>
      <c r="C33" s="35">
        <v>63</v>
      </c>
      <c r="D33" s="65">
        <f t="shared" si="0"/>
        <v>0.315</v>
      </c>
      <c r="E33" s="65">
        <f>D33/D24</f>
        <v>0.6176470588235294</v>
      </c>
    </row>
    <row r="34" spans="2:5" ht="12.75">
      <c r="B34" t="s">
        <v>105</v>
      </c>
      <c r="C34" t="s">
        <v>106</v>
      </c>
      <c r="D34" t="s">
        <v>107</v>
      </c>
      <c r="E34" t="s">
        <v>14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2000-12-08T19:28:39Z</cp:lastPrinted>
  <dcterms:created xsi:type="dcterms:W3CDTF">2000-10-11T19:44:58Z</dcterms:created>
  <dcterms:modified xsi:type="dcterms:W3CDTF">2001-02-15T19:12:19Z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