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5865" windowHeight="3705" tabRatio="727" activeTab="4"/>
  </bookViews>
  <sheets>
    <sheet name="Parameters" sheetId="1" r:id="rId1"/>
    <sheet name="CoulterSurvival" sheetId="2" r:id="rId2"/>
    <sheet name="MediumActivity" sheetId="3" r:id="rId3"/>
    <sheet name="CellSuspension" sheetId="4" r:id="rId4"/>
    <sheet name="Summary" sheetId="5" r:id="rId5"/>
    <sheet name="Unprotected Summary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<sst xmlns="http://schemas.openxmlformats.org/spreadsheetml/2006/main" count="160" uniqueCount="105">
  <si>
    <t>Cells/ml</t>
  </si>
  <si>
    <t>Tube #</t>
  </si>
  <si>
    <t>(CPM)</t>
  </si>
  <si>
    <t xml:space="preserve">2nd </t>
  </si>
  <si>
    <t xml:space="preserve">1st  </t>
  </si>
  <si>
    <t>3rd</t>
  </si>
  <si>
    <t>DPM</t>
  </si>
  <si>
    <t>counting</t>
  </si>
  <si>
    <t>Average</t>
  </si>
  <si>
    <t>CPM</t>
  </si>
  <si>
    <t xml:space="preserve">corrected </t>
  </si>
  <si>
    <t>for control</t>
  </si>
  <si>
    <t>Date/Time:</t>
  </si>
  <si>
    <t>(mBq/cell)</t>
  </si>
  <si>
    <t>SF</t>
  </si>
  <si>
    <t>Experiment No.</t>
  </si>
  <si>
    <t>Investigator</t>
  </si>
  <si>
    <t>Cell Line</t>
  </si>
  <si>
    <t>Radiochemical</t>
  </si>
  <si>
    <t>Manufacturer/Lot</t>
  </si>
  <si>
    <t>Date</t>
  </si>
  <si>
    <t>Radionuclide</t>
  </si>
  <si>
    <t>Half-life (days)</t>
  </si>
  <si>
    <t>Activity Added (Date/Time)</t>
  </si>
  <si>
    <t>Cells Washed (Date/Time)</t>
  </si>
  <si>
    <t>Original Activity Concentration (MBq/ml)</t>
  </si>
  <si>
    <t>Present Activity Concentration (MBq/ml)</t>
  </si>
  <si>
    <t>Original Calibration Date/Time</t>
  </si>
  <si>
    <t>Present Calibration Date/Time</t>
  </si>
  <si>
    <t>Time Elapsed Between Add and Wash (hr)</t>
  </si>
  <si>
    <t>Time Elapsed Between Add and Count (hr)</t>
  </si>
  <si>
    <t>Average Coulter Background Counts</t>
  </si>
  <si>
    <t>Coulter 1</t>
  </si>
  <si>
    <t>Coulter 2</t>
  </si>
  <si>
    <t>Coulter 3</t>
  </si>
  <si>
    <t>Liquid Scintillation Cocktail</t>
  </si>
  <si>
    <t>Model of Counter</t>
  </si>
  <si>
    <t>Counting Efficiency</t>
  </si>
  <si>
    <t>Volume/Type Counting Vial</t>
  </si>
  <si>
    <t>Radiation Yield</t>
  </si>
  <si>
    <t>Medium count</t>
  </si>
  <si>
    <t>CPM/(y e)</t>
  </si>
  <si>
    <t>addition</t>
  </si>
  <si>
    <t>[At/e-0.693t/T]</t>
  </si>
  <si>
    <t>kBq/ml at</t>
  </si>
  <si>
    <t xml:space="preserve">Experiment: </t>
  </si>
  <si>
    <t>Suspension count</t>
  </si>
  <si>
    <t>uptake</t>
  </si>
  <si>
    <t xml:space="preserve">Coulter count </t>
  </si>
  <si>
    <t>Coulter Calibration Parameter</t>
  </si>
  <si>
    <t xml:space="preserve">Colony count </t>
  </si>
  <si>
    <t>Seeded</t>
  </si>
  <si>
    <t>PE (%)</t>
  </si>
  <si>
    <t>Activity Conc.</t>
  </si>
  <si>
    <t>Activity/Cell</t>
  </si>
  <si>
    <t>(kBq/ml)</t>
  </si>
  <si>
    <t>Survival</t>
  </si>
  <si>
    <t>kBq/ml after</t>
  </si>
  <si>
    <r>
      <t>Vol. Supernatant Counted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</si>
  <si>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Vol. Suspension Counted Cell Activity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</si>
  <si>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Vol. Suspension Coulter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</si>
  <si>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Coulter Manometer Volume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</si>
  <si>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t>Volume of LSC Cocktail (ml)</t>
  </si>
  <si>
    <t xml:space="preserve">Predicted </t>
  </si>
  <si>
    <t xml:space="preserve"> # Cells</t>
  </si>
  <si>
    <t>Actual</t>
  </si>
  <si>
    <t>Date:</t>
  </si>
  <si>
    <t>Uncorrected</t>
  </si>
  <si>
    <t>Corrected</t>
  </si>
  <si>
    <t>Medium Tubes Counted (Date/Time)</t>
  </si>
  <si>
    <t>Cell Tubes Counted (Date/Time)</t>
  </si>
  <si>
    <t>Time Elapsed Between Wash and Count (hr)</t>
  </si>
  <si>
    <t>I-125=59.408, H-3=4500.45, Po-210=138.376, I-131=8.02</t>
  </si>
  <si>
    <t>I-125=1.47, H-3=1.0, Po-210=1.0, I-131=8.02</t>
  </si>
  <si>
    <t xml:space="preserve">At </t>
  </si>
  <si>
    <t>Ao</t>
  </si>
  <si>
    <r>
      <t>m</t>
    </r>
    <r>
      <rPr>
        <sz val="10"/>
        <color indexed="10"/>
        <rFont val="Arial"/>
        <family val="2"/>
      </rPr>
      <t>Ci/ml on</t>
    </r>
  </si>
  <si>
    <r>
      <t>m</t>
    </r>
    <r>
      <rPr>
        <sz val="10"/>
        <color indexed="10"/>
        <rFont val="Arial"/>
        <family val="2"/>
      </rPr>
      <t>Ci/ml at</t>
    </r>
  </si>
  <si>
    <r>
      <t>A</t>
    </r>
    <r>
      <rPr>
        <vertAlign val="subscript"/>
        <sz val="10"/>
        <color indexed="10"/>
        <rFont val="Arial"/>
        <family val="2"/>
      </rPr>
      <t xml:space="preserve">t </t>
    </r>
  </si>
  <si>
    <r>
      <t>A</t>
    </r>
    <r>
      <rPr>
        <vertAlign val="subscript"/>
        <sz val="10"/>
        <color indexed="10"/>
        <rFont val="Arial"/>
        <family val="2"/>
      </rPr>
      <t>o</t>
    </r>
  </si>
  <si>
    <r>
      <t>m</t>
    </r>
    <r>
      <rPr>
        <sz val="10"/>
        <color indexed="10"/>
        <rFont val="Arial"/>
        <family val="2"/>
      </rPr>
      <t>Ci/ml after</t>
    </r>
  </si>
  <si>
    <t>Modifier</t>
  </si>
  <si>
    <t>Background</t>
  </si>
  <si>
    <t>Fraction of Cells Labeled</t>
  </si>
  <si>
    <t>Hemocytometer Counting (Yes or No)?</t>
  </si>
  <si>
    <t>1st</t>
  </si>
  <si>
    <t>2nd</t>
  </si>
  <si>
    <t>4th</t>
  </si>
  <si>
    <t>Hemocytometer Count in Grid</t>
  </si>
  <si>
    <t>Time Elapsed Since Original Calibration (d)</t>
  </si>
  <si>
    <t>M.Lenarczyk</t>
  </si>
  <si>
    <t>V79</t>
  </si>
  <si>
    <t>none</t>
  </si>
  <si>
    <t>H-3</t>
  </si>
  <si>
    <t>3HTdR</t>
  </si>
  <si>
    <t>NCN/3106-398</t>
  </si>
  <si>
    <t>11/6/00 / 12:00</t>
  </si>
  <si>
    <t>EcoLume</t>
  </si>
  <si>
    <t>7/Plastic vial with cup</t>
  </si>
  <si>
    <t>Beckman LS5000TD</t>
  </si>
  <si>
    <t>Jan., 15, 2001</t>
  </si>
  <si>
    <t>Jan., 15, 2001 / 22:00</t>
  </si>
  <si>
    <t>Jan., 16, 2001 / 14:00</t>
  </si>
  <si>
    <t>Jan., 17, 2001 / 11:54</t>
  </si>
  <si>
    <t>Jan., 19, 2001 / 15:27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</si>
</sst>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"/>
    <numFmt numFmtId="168" formatCode="0.000000"/>
    <numFmt numFmtId="169" formatCode="0.0000"/>
    <numFmt numFmtId="170" formatCode="0.000"/>
    <numFmt numFmtId="171" formatCode="0.0"/>
    <numFmt numFmtId="172" formatCode="0.0000000000"/>
    <numFmt numFmtId="173" formatCode="0.000000000"/>
    <numFmt numFmtId="174" formatCode="0.00000000"/>
    <numFmt numFmtId="175" formatCode="0.0000000"/>
    <numFmt numFmtId="176" formatCode="0.00000000000"/>
    <numFmt numFmtId="177" formatCode="0.000000000000"/>
    <numFmt numFmtId="178" formatCode="m/d/yyyy"/>
    <numFmt numFmtId="179" formatCode="mm/dd/yy"/>
    <numFmt numFmtId="180" formatCode="0_);[Red]\(0\)"/>
    <numFmt numFmtId="181" formatCode="0.E+00"/>
  </numFmts>
  <fonts count="20">
    <font>
      <sz val="10"/>
      <name val="Arial"/>
      <family val="0"/>
    </font>
    <font>
      <sz val="10"/>
      <name val="Symbol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Symbol"/>
      <family val="1"/>
    </font>
    <font>
      <sz val="12"/>
      <name val="Arial"/>
      <family val="0"/>
    </font>
    <font>
      <sz val="16.25"/>
      <name val="Arial"/>
      <family val="0"/>
    </font>
    <font>
      <b/>
      <sz val="14.25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i/>
      <sz val="10"/>
      <color indexed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vertAlign val="subscript"/>
      <sz val="10"/>
      <color indexed="10"/>
      <name val="Arial"/>
      <family val="2"/>
    </font>
    <font>
      <b/>
      <sz val="12"/>
      <name val="Arial"/>
      <family val="0"/>
    </font>
    <font>
      <sz val="14.75"/>
      <name val="Arial"/>
      <family val="0"/>
    </font>
    <font>
      <sz val="10.7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left" indent="2"/>
    </xf>
    <xf numFmtId="1" fontId="0" fillId="0" borderId="0" xfId="0" applyNumberFormat="1" applyAlignment="1">
      <alignment horizontal="left" indent="1"/>
    </xf>
    <xf numFmtId="168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 indent="2"/>
    </xf>
    <xf numFmtId="1" fontId="0" fillId="0" borderId="0" xfId="0" applyNumberFormat="1" applyFont="1" applyAlignment="1">
      <alignment horizontal="left" indent="1"/>
    </xf>
    <xf numFmtId="167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8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1" fontId="11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167" fontId="11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70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2" fontId="12" fillId="0" borderId="0" xfId="0" applyNumberFormat="1" applyFont="1" applyAlignment="1" applyProtection="1">
      <alignment/>
      <protection/>
    </xf>
    <xf numFmtId="14" fontId="0" fillId="0" borderId="2" xfId="0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22" fontId="0" fillId="0" borderId="4" xfId="0" applyNumberFormat="1" applyBorder="1" applyAlignment="1" applyProtection="1">
      <alignment horizontal="left"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69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0" fillId="0" borderId="2" xfId="0" applyNumberForma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>
        <c:manualLayout>
          <c:xMode val="factor"/>
          <c:yMode val="factor"/>
          <c:x val="0.0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07875"/>
          <c:w val="0.87525"/>
          <c:h val="0.8315"/>
        </c:manualLayout>
      </c:layout>
      <c:scatterChart>
        <c:scatterStyle val="lineMarker"/>
        <c:varyColors val="0"/>
        <c:ser>
          <c:idx val="0"/>
          <c:order val="0"/>
          <c:tx>
            <c:v>Uncorrected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Summary!$C$13:$C$22</c:f>
              <c:numCache/>
            </c:numRef>
          </c:xVal>
          <c:yVal>
            <c:numRef>
              <c:f>Summary!$D$13:$D$22</c:f>
              <c:numCache/>
            </c:numRef>
          </c:yVal>
          <c:smooth val="0"/>
        </c:ser>
        <c:ser>
          <c:idx val="1"/>
          <c:order val="1"/>
          <c:tx>
            <c:v>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Summary!$C$13:$C$22</c:f>
              <c:numCache/>
            </c:numRef>
          </c:xVal>
          <c:yVal>
            <c:numRef>
              <c:f>Summary!$E$13:$E$22</c:f>
              <c:numCache/>
            </c:numRef>
          </c:yVal>
          <c:smooth val="0"/>
        </c:ser>
        <c:axId val="6508889"/>
        <c:axId val="58580002"/>
      </c:scatterChart>
      <c:valAx>
        <c:axId val="6508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580002"/>
        <c:crossesAt val="0.001"/>
        <c:crossBetween val="midCat"/>
        <c:dispUnits/>
      </c:valAx>
      <c:valAx>
        <c:axId val="5858000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088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14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Uptake vs. Activity Concentration</a:t>
            </a:r>
          </a:p>
        </c:rich>
      </c:tx>
      <c:layout>
        <c:manualLayout>
          <c:xMode val="factor"/>
          <c:yMode val="factor"/>
          <c:x val="0.114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01"/>
          <c:w val="0.8375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Summary!$B$13:$B$22</c:f>
              <c:numCache/>
            </c:numRef>
          </c:xVal>
          <c:yVal>
            <c:numRef>
              <c:f>Summary!$C$13:$C$22</c:f>
              <c:numCache/>
            </c:numRef>
          </c:yVal>
          <c:smooth val="0"/>
        </c:ser>
        <c:axId val="57457971"/>
        <c:axId val="47359692"/>
      </c:scatterChart>
      <c:valAx>
        <c:axId val="57457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Activity Concentration (kBq/ml)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359692"/>
        <c:crosses val="autoZero"/>
        <c:crossBetween val="midCat"/>
        <c:dispUnits/>
      </c:valAx>
      <c:valAx>
        <c:axId val="47359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4579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155"/>
          <c:w val="0.86425"/>
          <c:h val="0.80075"/>
        </c:manualLayout>
      </c:layout>
      <c:scatterChart>
        <c:scatterStyle val="lineMarker"/>
        <c:varyColors val="0"/>
        <c:ser>
          <c:idx val="0"/>
          <c:order val="0"/>
          <c:tx>
            <c:v>Uncorrected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1.994256368356608</c:v>
                </c:pt>
                <c:pt idx="3">
                  <c:v>4.6719401215847425</c:v>
                </c:pt>
                <c:pt idx="4">
                  <c:v>15.700187807319951</c:v>
                </c:pt>
                <c:pt idx="5">
                  <c:v>15.177282939422652</c:v>
                </c:pt>
                <c:pt idx="6">
                  <c:v>12.042897519449706</c:v>
                </c:pt>
                <c:pt idx="7">
                  <c:v>16.94071976942361</c:v>
                </c:pt>
                <c:pt idx="8">
                  <c:v>28.383810880896238</c:v>
                </c:pt>
                <c:pt idx="9">
                  <c:v>55.467136147375854</c:v>
                </c:pt>
              </c:numCache>
            </c:numRef>
          </c:xVal>
          <c:yVal>
            <c:numRef>
              <c:f>Summary!$D$13:$D$22</c:f>
              <c:numCache>
                <c:ptCount val="10"/>
                <c:pt idx="0">
                  <c:v>1</c:v>
                </c:pt>
                <c:pt idx="2">
                  <c:v>0.5729166666666666</c:v>
                </c:pt>
                <c:pt idx="3">
                  <c:v>0.6640625</c:v>
                </c:pt>
                <c:pt idx="4">
                  <c:v>0.546875</c:v>
                </c:pt>
                <c:pt idx="5">
                  <c:v>0.6171875</c:v>
                </c:pt>
                <c:pt idx="6">
                  <c:v>0.5078125</c:v>
                </c:pt>
                <c:pt idx="7">
                  <c:v>0.9661458333333335</c:v>
                </c:pt>
                <c:pt idx="8">
                  <c:v>0.66796875</c:v>
                </c:pt>
                <c:pt idx="9">
                  <c:v>0.10182291666666667</c:v>
                </c:pt>
              </c:numCache>
            </c:numRef>
          </c:yVal>
          <c:smooth val="0"/>
        </c:ser>
        <c:ser>
          <c:idx val="1"/>
          <c:order val="1"/>
          <c:tx>
            <c:v>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1.994256368356608</c:v>
                </c:pt>
                <c:pt idx="3">
                  <c:v>4.6719401215847425</c:v>
                </c:pt>
                <c:pt idx="4">
                  <c:v>15.700187807319951</c:v>
                </c:pt>
                <c:pt idx="5">
                  <c:v>15.177282939422652</c:v>
                </c:pt>
                <c:pt idx="6">
                  <c:v>12.042897519449706</c:v>
                </c:pt>
                <c:pt idx="7">
                  <c:v>16.94071976942361</c:v>
                </c:pt>
                <c:pt idx="8">
                  <c:v>28.383810880896238</c:v>
                </c:pt>
                <c:pt idx="9">
                  <c:v>55.467136147375854</c:v>
                </c:pt>
              </c:numCache>
            </c:numRef>
          </c:xVal>
          <c:yVal>
            <c:numRef>
              <c:f>Summary!$E$13:$E$22</c:f>
              <c:numCache>
                <c:ptCount val="10"/>
                <c:pt idx="0">
                  <c:v>1</c:v>
                </c:pt>
                <c:pt idx="2">
                  <c:v>0.738306416096235</c:v>
                </c:pt>
                <c:pt idx="3">
                  <c:v>1.03729633449759</c:v>
                </c:pt>
                <c:pt idx="4">
                  <c:v>1.9052815434072665</c:v>
                </c:pt>
                <c:pt idx="5">
                  <c:v>0.7806619976410435</c:v>
                </c:pt>
                <c:pt idx="6">
                  <c:v>0.6946507102500401</c:v>
                </c:pt>
                <c:pt idx="7">
                  <c:v>0.8701837986333417</c:v>
                </c:pt>
                <c:pt idx="8">
                  <c:v>0.8034547538581699</c:v>
                </c:pt>
                <c:pt idx="9">
                  <c:v>0.14262394260490183</c:v>
                </c:pt>
              </c:numCache>
            </c:numRef>
          </c:yVal>
          <c:smooth val="0"/>
        </c:ser>
        <c:axId val="23584045"/>
        <c:axId val="10929814"/>
      </c:scatterChart>
      <c:valAx>
        <c:axId val="23584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929814"/>
        <c:crossesAt val="0.001"/>
        <c:crossBetween val="midCat"/>
        <c:dispUnits/>
      </c:valAx>
      <c:valAx>
        <c:axId val="1092981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5840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1"/>
          <c:y val="0.16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Uptake vs. Activity Concentration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Summary!$B$13:$B$22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36.61861346720768</c:v>
                </c:pt>
                <c:pt idx="3">
                  <c:v>67.41187521070594</c:v>
                </c:pt>
                <c:pt idx="4">
                  <c:v>124.5560051931087</c:v>
                </c:pt>
                <c:pt idx="5">
                  <c:v>212.51875922716988</c:v>
                </c:pt>
                <c:pt idx="6">
                  <c:v>282.26596157689346</c:v>
                </c:pt>
                <c:pt idx="7">
                  <c:v>400.24714459167205</c:v>
                </c:pt>
                <c:pt idx="8">
                  <c:v>518.3899054573138</c:v>
                </c:pt>
                <c:pt idx="9">
                  <c:v>477.9244852726443</c:v>
                </c:pt>
              </c:numCache>
            </c:numRef>
          </c:xVal>
          <c:y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1.994256368356608</c:v>
                </c:pt>
                <c:pt idx="3">
                  <c:v>4.6719401215847425</c:v>
                </c:pt>
                <c:pt idx="4">
                  <c:v>15.700187807319951</c:v>
                </c:pt>
                <c:pt idx="5">
                  <c:v>15.177282939422652</c:v>
                </c:pt>
                <c:pt idx="6">
                  <c:v>12.042897519449706</c:v>
                </c:pt>
                <c:pt idx="7">
                  <c:v>16.94071976942361</c:v>
                </c:pt>
                <c:pt idx="8">
                  <c:v>28.383810880896238</c:v>
                </c:pt>
                <c:pt idx="9">
                  <c:v>55.467136147375854</c:v>
                </c:pt>
              </c:numCache>
            </c:numRef>
          </c:yVal>
          <c:smooth val="0"/>
        </c:ser>
        <c:axId val="31259463"/>
        <c:axId val="12899712"/>
      </c:scatterChart>
      <c:valAx>
        <c:axId val="31259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Activity Concentration (kBq/ml)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2899712"/>
        <c:crosses val="autoZero"/>
        <c:crossBetween val="midCat"/>
        <c:dispUnits/>
      </c:valAx>
      <c:valAx>
        <c:axId val="12899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E+00" sourceLinked="0"/>
        <c:majorTickMark val="out"/>
        <c:minorTickMark val="none"/>
        <c:tickLblPos val="nextTo"/>
        <c:crossAx val="312594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19050</xdr:rowOff>
    </xdr:from>
    <xdr:to>
      <xdr:col>12</xdr:col>
      <xdr:colOff>600075</xdr:colOff>
      <xdr:row>17</xdr:row>
      <xdr:rowOff>9525</xdr:rowOff>
    </xdr:to>
    <xdr:graphicFrame>
      <xdr:nvGraphicFramePr>
        <xdr:cNvPr id="1" name="Chart 2"/>
        <xdr:cNvGraphicFramePr/>
      </xdr:nvGraphicFramePr>
      <xdr:xfrm>
        <a:off x="3943350" y="19050"/>
        <a:ext cx="4276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18</xdr:row>
      <xdr:rowOff>38100</xdr:rowOff>
    </xdr:from>
    <xdr:to>
      <xdr:col>12</xdr:col>
      <xdr:colOff>600075</xdr:colOff>
      <xdr:row>36</xdr:row>
      <xdr:rowOff>133350</xdr:rowOff>
    </xdr:to>
    <xdr:graphicFrame>
      <xdr:nvGraphicFramePr>
        <xdr:cNvPr id="2" name="Chart 3"/>
        <xdr:cNvGraphicFramePr/>
      </xdr:nvGraphicFramePr>
      <xdr:xfrm>
        <a:off x="3971925" y="2952750"/>
        <a:ext cx="42481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0</xdr:row>
      <xdr:rowOff>19050</xdr:rowOff>
    </xdr:from>
    <xdr:to>
      <xdr:col>11</xdr:col>
      <xdr:colOff>600075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3800475" y="19050"/>
        <a:ext cx="38766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381000</xdr:colOff>
      <xdr:row>18</xdr:row>
      <xdr:rowOff>114300</xdr:rowOff>
    </xdr:from>
    <xdr:to>
      <xdr:col>11</xdr:col>
      <xdr:colOff>542925</xdr:colOff>
      <xdr:row>36</xdr:row>
      <xdr:rowOff>114300</xdr:rowOff>
    </xdr:to>
    <xdr:graphicFrame>
      <xdr:nvGraphicFramePr>
        <xdr:cNvPr id="2" name="Chart 2"/>
        <xdr:cNvGraphicFramePr/>
      </xdr:nvGraphicFramePr>
      <xdr:xfrm>
        <a:off x="3800475" y="3028950"/>
        <a:ext cx="38195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9">
      <selection activeCell="B36" sqref="B36"/>
    </sheetView>
  </sheetViews>
  <sheetFormatPr defaultColWidth="9.140625" defaultRowHeight="12.75"/>
  <cols>
    <col min="1" max="1" width="36.8515625" style="24" customWidth="1"/>
    <col min="2" max="2" width="20.00390625" style="22" customWidth="1"/>
    <col min="3" max="3" width="36.8515625" style="0" customWidth="1"/>
    <col min="4" max="4" width="9.57421875" style="0" bestFit="1" customWidth="1"/>
  </cols>
  <sheetData>
    <row r="1" spans="1:2" ht="12.75">
      <c r="A1" s="24" t="s">
        <v>20</v>
      </c>
      <c r="B1" s="48" t="s">
        <v>100</v>
      </c>
    </row>
    <row r="2" ht="12.75">
      <c r="B2" s="61"/>
    </row>
    <row r="3" spans="1:2" ht="12.75">
      <c r="A3" s="24" t="s">
        <v>15</v>
      </c>
      <c r="B3" s="48" t="s">
        <v>100</v>
      </c>
    </row>
    <row r="4" spans="1:3" ht="12.75">
      <c r="A4" s="24" t="s">
        <v>16</v>
      </c>
      <c r="B4" s="50" t="s">
        <v>90</v>
      </c>
      <c r="C4" s="20"/>
    </row>
    <row r="5" spans="1:2" ht="12.75">
      <c r="A5" s="24" t="s">
        <v>17</v>
      </c>
      <c r="B5" s="50" t="s">
        <v>91</v>
      </c>
    </row>
    <row r="6" spans="1:2" ht="12.75">
      <c r="A6" s="24" t="s">
        <v>81</v>
      </c>
      <c r="B6" s="50" t="s">
        <v>92</v>
      </c>
    </row>
    <row r="7" spans="1:2" ht="12.75">
      <c r="A7" s="24" t="s">
        <v>21</v>
      </c>
      <c r="B7" s="50" t="s">
        <v>93</v>
      </c>
    </row>
    <row r="8" spans="1:3" ht="12.75">
      <c r="A8" s="24" t="s">
        <v>22</v>
      </c>
      <c r="B8" s="50">
        <v>4500.45</v>
      </c>
      <c r="C8" s="20" t="s">
        <v>72</v>
      </c>
    </row>
    <row r="9" spans="1:3" ht="12.75">
      <c r="A9" s="24" t="s">
        <v>39</v>
      </c>
      <c r="B9" s="50">
        <v>1</v>
      </c>
      <c r="C9" s="20" t="s">
        <v>73</v>
      </c>
    </row>
    <row r="10" spans="1:2" ht="12.75">
      <c r="A10" s="24" t="s">
        <v>18</v>
      </c>
      <c r="B10" s="50" t="s">
        <v>94</v>
      </c>
    </row>
    <row r="11" spans="1:2" ht="12.75">
      <c r="A11" s="24" t="s">
        <v>19</v>
      </c>
      <c r="B11" s="50" t="s">
        <v>95</v>
      </c>
    </row>
    <row r="12" spans="1:4" ht="12.75">
      <c r="A12" s="24" t="s">
        <v>27</v>
      </c>
      <c r="B12" s="52" t="s">
        <v>96</v>
      </c>
      <c r="C12" s="20" t="s">
        <v>25</v>
      </c>
      <c r="D12" s="56">
        <v>37</v>
      </c>
    </row>
    <row r="13" spans="1:4" ht="12.75">
      <c r="A13" s="24" t="s">
        <v>28</v>
      </c>
      <c r="B13" s="48" t="s">
        <v>100</v>
      </c>
      <c r="C13" s="20" t="s">
        <v>89</v>
      </c>
      <c r="D13" s="57">
        <v>65</v>
      </c>
    </row>
    <row r="14" spans="1:4" ht="12.75">
      <c r="A14" s="24" t="s">
        <v>83</v>
      </c>
      <c r="B14" s="51">
        <v>0.5</v>
      </c>
      <c r="C14" s="20" t="s">
        <v>26</v>
      </c>
      <c r="D14" s="47">
        <f>$D$12*EXP(-0.693*$D$13/($B$8))</f>
        <v>36.631514196573235</v>
      </c>
    </row>
    <row r="15" ht="12.75">
      <c r="B15" s="61"/>
    </row>
    <row r="16" spans="1:2" ht="12.75">
      <c r="A16" s="24" t="s">
        <v>35</v>
      </c>
      <c r="B16" s="49" t="s">
        <v>97</v>
      </c>
    </row>
    <row r="17" spans="1:2" ht="12.75">
      <c r="A17" s="24" t="s">
        <v>62</v>
      </c>
      <c r="B17" s="50">
        <v>6</v>
      </c>
    </row>
    <row r="18" spans="1:2" ht="12.75">
      <c r="A18" s="24" t="s">
        <v>38</v>
      </c>
      <c r="B18" s="50" t="s">
        <v>98</v>
      </c>
    </row>
    <row r="19" spans="1:2" ht="12.75">
      <c r="A19" s="24" t="s">
        <v>36</v>
      </c>
      <c r="B19" s="50" t="s">
        <v>99</v>
      </c>
    </row>
    <row r="20" spans="1:2" ht="12.75">
      <c r="A20" s="24" t="s">
        <v>37</v>
      </c>
      <c r="B20" s="51">
        <v>0.65</v>
      </c>
    </row>
    <row r="21" ht="12.75">
      <c r="B21" s="61"/>
    </row>
    <row r="22" spans="1:2" ht="12.75">
      <c r="A22" s="24" t="s">
        <v>23</v>
      </c>
      <c r="B22" s="48" t="s">
        <v>101</v>
      </c>
    </row>
    <row r="23" spans="1:4" ht="12.75">
      <c r="A23" s="24" t="s">
        <v>24</v>
      </c>
      <c r="B23" s="48" t="s">
        <v>102</v>
      </c>
      <c r="C23" s="20" t="s">
        <v>29</v>
      </c>
      <c r="D23" s="27">
        <v>16</v>
      </c>
    </row>
    <row r="24" spans="1:4" ht="12.75">
      <c r="A24" s="24" t="s">
        <v>69</v>
      </c>
      <c r="B24" s="48" t="s">
        <v>103</v>
      </c>
      <c r="C24" s="20" t="s">
        <v>30</v>
      </c>
      <c r="D24" s="27">
        <v>38</v>
      </c>
    </row>
    <row r="25" spans="1:4" ht="12.75">
      <c r="A25" s="24" t="s">
        <v>70</v>
      </c>
      <c r="B25" s="48" t="s">
        <v>104</v>
      </c>
      <c r="C25" s="20" t="s">
        <v>71</v>
      </c>
      <c r="D25" s="27">
        <v>73.5</v>
      </c>
    </row>
    <row r="26" spans="1:2" ht="12.75">
      <c r="A26" s="24" t="s">
        <v>58</v>
      </c>
      <c r="B26" s="50">
        <v>30</v>
      </c>
    </row>
    <row r="27" spans="1:2" ht="12.75">
      <c r="A27" s="24" t="s">
        <v>59</v>
      </c>
      <c r="B27" s="51">
        <v>100</v>
      </c>
    </row>
    <row r="28" ht="12.75">
      <c r="B28" s="61"/>
    </row>
    <row r="29" spans="1:2" ht="12.75">
      <c r="A29" s="24" t="s">
        <v>60</v>
      </c>
      <c r="B29" s="49">
        <v>100</v>
      </c>
    </row>
    <row r="30" spans="1:5" ht="12.75">
      <c r="A30" s="24" t="s">
        <v>61</v>
      </c>
      <c r="B30" s="51">
        <v>500</v>
      </c>
      <c r="E30" s="20" t="s">
        <v>82</v>
      </c>
    </row>
    <row r="31" spans="1:6" ht="12.75">
      <c r="A31" s="24" t="s">
        <v>31</v>
      </c>
      <c r="B31" s="60">
        <f>AVERAGE(D32:F32)</f>
        <v>13</v>
      </c>
      <c r="D31" s="20" t="s">
        <v>32</v>
      </c>
      <c r="E31" s="20" t="s">
        <v>33</v>
      </c>
      <c r="F31" s="20" t="s">
        <v>34</v>
      </c>
    </row>
    <row r="32" spans="1:6" ht="12.75">
      <c r="A32" s="25" t="s">
        <v>49</v>
      </c>
      <c r="B32" s="23">
        <v>400</v>
      </c>
      <c r="D32" s="53">
        <v>13</v>
      </c>
      <c r="E32" s="54">
        <v>13</v>
      </c>
      <c r="F32" s="55">
        <v>13</v>
      </c>
    </row>
    <row r="33" spans="1:2" ht="12.75">
      <c r="A33" s="24" t="s">
        <v>84</v>
      </c>
      <c r="B33" s="64"/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28">
      <selection activeCell="F43" sqref="F43"/>
    </sheetView>
  </sheetViews>
  <sheetFormatPr defaultColWidth="9.140625" defaultRowHeight="12.75"/>
  <cols>
    <col min="1" max="1" width="6.57421875" style="62" customWidth="1"/>
    <col min="2" max="2" width="8.57421875" style="0" customWidth="1"/>
    <col min="3" max="3" width="7.421875" style="0" customWidth="1"/>
    <col min="4" max="4" width="8.00390625" style="0" customWidth="1"/>
    <col min="5" max="5" width="7.8515625" style="0" customWidth="1"/>
    <col min="6" max="6" width="9.00390625" style="0" customWidth="1"/>
    <col min="7" max="8" width="8.140625" style="0" customWidth="1"/>
    <col min="9" max="9" width="10.8515625" style="0" customWidth="1"/>
    <col min="10" max="10" width="9.28125" style="0" customWidth="1"/>
  </cols>
  <sheetData>
    <row r="1" spans="2:6" ht="12.75">
      <c r="B1" s="20"/>
      <c r="C1" s="20"/>
      <c r="D1" s="20"/>
      <c r="E1" s="20"/>
      <c r="F1" s="20"/>
    </row>
    <row r="2" spans="2:6" ht="12.75">
      <c r="B2" s="20"/>
      <c r="C2" s="20"/>
      <c r="D2" s="20"/>
      <c r="E2" s="20"/>
      <c r="F2" s="20"/>
    </row>
    <row r="3" spans="1:6" ht="12.75">
      <c r="A3" s="62" t="s">
        <v>45</v>
      </c>
      <c r="B3" s="20"/>
      <c r="C3" s="20" t="str">
        <f>Parameters!$B$3</f>
        <v>Jan., 15, 2001</v>
      </c>
      <c r="D3" s="20"/>
      <c r="E3" s="20"/>
      <c r="F3" s="20"/>
    </row>
    <row r="4" spans="1:6" ht="12.75">
      <c r="A4" s="62" t="s">
        <v>12</v>
      </c>
      <c r="B4" s="20"/>
      <c r="C4" s="43" t="str">
        <f>Parameters!$B$1</f>
        <v>Jan., 15, 2001</v>
      </c>
      <c r="D4" s="20"/>
      <c r="E4" s="20"/>
      <c r="F4" s="20"/>
    </row>
    <row r="5" spans="2:6" ht="12.75">
      <c r="B5" s="20"/>
      <c r="C5" s="20"/>
      <c r="D5" s="20"/>
      <c r="E5" s="20"/>
      <c r="F5" s="20"/>
    </row>
    <row r="6" spans="2:6" ht="12.75">
      <c r="B6" s="20"/>
      <c r="C6" s="20"/>
      <c r="D6" s="20"/>
      <c r="E6" s="20"/>
      <c r="F6" s="20"/>
    </row>
    <row r="7" spans="1:8" ht="12.75">
      <c r="A7" s="62" t="s">
        <v>1</v>
      </c>
      <c r="B7" s="20"/>
      <c r="C7" s="20" t="s">
        <v>48</v>
      </c>
      <c r="D7" s="20"/>
      <c r="E7" s="20" t="s">
        <v>8</v>
      </c>
      <c r="F7" s="20" t="s">
        <v>0</v>
      </c>
      <c r="H7" s="20" t="s">
        <v>88</v>
      </c>
    </row>
    <row r="8" spans="2:10" ht="12.75">
      <c r="B8" s="31" t="s">
        <v>4</v>
      </c>
      <c r="C8" s="31" t="s">
        <v>3</v>
      </c>
      <c r="D8" s="31" t="s">
        <v>5</v>
      </c>
      <c r="E8" s="20"/>
      <c r="F8" s="20"/>
      <c r="G8" s="31" t="s">
        <v>85</v>
      </c>
      <c r="H8" s="31" t="s">
        <v>86</v>
      </c>
      <c r="I8" s="31" t="s">
        <v>5</v>
      </c>
      <c r="J8" s="31" t="s">
        <v>87</v>
      </c>
    </row>
    <row r="9" spans="2:6" ht="12.75">
      <c r="B9" s="20"/>
      <c r="C9" s="20"/>
      <c r="D9" s="20"/>
      <c r="E9" s="20"/>
      <c r="F9" s="20"/>
    </row>
    <row r="10" spans="2:6" ht="12.75">
      <c r="B10" s="20"/>
      <c r="C10" s="20"/>
      <c r="D10" s="20"/>
      <c r="E10" s="20"/>
      <c r="F10" s="20"/>
    </row>
    <row r="11" spans="2:6" ht="12.75">
      <c r="B11" s="20"/>
      <c r="C11" s="20"/>
      <c r="D11" s="20"/>
      <c r="E11" s="20"/>
      <c r="F11" s="20"/>
    </row>
    <row r="12" spans="2:6" ht="12.75">
      <c r="B12" s="20"/>
      <c r="C12" s="20"/>
      <c r="D12" s="20"/>
      <c r="E12" s="20"/>
      <c r="F12" s="20"/>
    </row>
    <row r="13" spans="1:10" ht="12.75">
      <c r="A13" s="63">
        <v>1</v>
      </c>
      <c r="B13" s="28">
        <v>8671</v>
      </c>
      <c r="C13" s="28">
        <v>8454</v>
      </c>
      <c r="D13" s="28">
        <v>8777</v>
      </c>
      <c r="E13" s="34">
        <f>IF(Parameters!$B$33="Yes",AVERAGE(G13:J13),AVERAGE(B13:D13))</f>
        <v>8634</v>
      </c>
      <c r="F13" s="34">
        <f>IF(Parameters!$B$33="Yes",E13*10000,(E13-Parameters!$B$31)*Parameters!$B$32*(100/Parameters!$B$29)*(500/Parameters!$B$30))</f>
        <v>3448400</v>
      </c>
      <c r="G13" s="26"/>
      <c r="H13" s="26"/>
      <c r="I13" s="26"/>
      <c r="J13" s="26"/>
    </row>
    <row r="14" spans="1:10" ht="12.75">
      <c r="A14" s="63">
        <v>2</v>
      </c>
      <c r="B14" s="28">
        <v>8598</v>
      </c>
      <c r="C14" s="28">
        <v>8337</v>
      </c>
      <c r="D14" s="28">
        <v>8448</v>
      </c>
      <c r="E14" s="34">
        <f>IF(Parameters!$B$33="Yes",AVERAGE(G14:J14),AVERAGE(B14:D14))</f>
        <v>8461</v>
      </c>
      <c r="F14" s="34">
        <f>IF(Parameters!$B$33="Yes",E14*10000,(E14-Parameters!$B$31)*Parameters!$B$32*(100/Parameters!$B$29)*(500/Parameters!$B$30))</f>
        <v>3379200</v>
      </c>
      <c r="G14" s="26"/>
      <c r="H14" s="26"/>
      <c r="I14" s="26"/>
      <c r="J14" s="26"/>
    </row>
    <row r="15" spans="1:10" ht="12.75">
      <c r="A15" s="62">
        <v>3</v>
      </c>
      <c r="B15" s="29">
        <v>6693</v>
      </c>
      <c r="C15" s="29">
        <v>6596</v>
      </c>
      <c r="D15" s="29">
        <v>6618</v>
      </c>
      <c r="E15" s="35">
        <f>IF(Parameters!$B$33="Yes",AVERAGE(G15:J15),AVERAGE(B15:D15))</f>
        <v>6635.666666666667</v>
      </c>
      <c r="F15" s="35">
        <f>IF(Parameters!$B$33="Yes",E15*10000,(E15-Parameters!$B$31)*Parameters!$B$32*(100/Parameters!$B$29)*(500/Parameters!$B$30))</f>
        <v>2649066.666666667</v>
      </c>
      <c r="G15" s="26"/>
      <c r="H15" s="26"/>
      <c r="I15" s="26"/>
      <c r="J15" s="26"/>
    </row>
    <row r="16" spans="1:10" ht="12.75">
      <c r="A16" s="62">
        <v>4</v>
      </c>
      <c r="B16" s="29">
        <v>5301</v>
      </c>
      <c r="C16" s="29">
        <v>5609</v>
      </c>
      <c r="D16" s="29">
        <v>5520</v>
      </c>
      <c r="E16" s="35">
        <f>IF(Parameters!$B$33="Yes",AVERAGE(G16:J16),AVERAGE(B16:D16))</f>
        <v>5476.666666666667</v>
      </c>
      <c r="F16" s="35">
        <f>IF(Parameters!$B$33="Yes",E16*10000,(E16-Parameters!$B$31)*Parameters!$B$32*(100/Parameters!$B$29)*(500/Parameters!$B$30))</f>
        <v>2185466.666666667</v>
      </c>
      <c r="G16" s="26"/>
      <c r="H16" s="26"/>
      <c r="I16" s="26"/>
      <c r="J16" s="26"/>
    </row>
    <row r="17" spans="1:10" ht="12.75">
      <c r="A17" s="62">
        <v>5</v>
      </c>
      <c r="B17" s="29">
        <v>2225</v>
      </c>
      <c r="C17" s="29">
        <v>2699</v>
      </c>
      <c r="D17" s="29">
        <v>2464</v>
      </c>
      <c r="E17" s="35">
        <f>IF(Parameters!$B$33="Yes",AVERAGE(G17:J17),AVERAGE(B17:D17))</f>
        <v>2462.6666666666665</v>
      </c>
      <c r="F17" s="35">
        <f>IF(Parameters!$B$33="Yes",E17*10000,(E17-Parameters!$B$31)*Parameters!$B$32*(100/Parameters!$B$29)*(500/Parameters!$B$30))</f>
        <v>979866.6666666666</v>
      </c>
      <c r="G17" s="26"/>
      <c r="H17" s="26"/>
      <c r="I17" s="26"/>
      <c r="J17" s="26"/>
    </row>
    <row r="18" spans="1:10" ht="12.75">
      <c r="A18" s="62">
        <v>6</v>
      </c>
      <c r="B18" s="29">
        <v>6458</v>
      </c>
      <c r="C18" s="29">
        <v>6859</v>
      </c>
      <c r="D18" s="29">
        <v>6964</v>
      </c>
      <c r="E18" s="35">
        <f>IF(Parameters!$B$33="Yes",AVERAGE(G18:J18),AVERAGE(B18:D18))</f>
        <v>6760.333333333333</v>
      </c>
      <c r="F18" s="35">
        <f>IF(Parameters!$B$33="Yes",E18*10000,(E18-Parameters!$B$31)*Parameters!$B$32*(100/Parameters!$B$29)*(500/Parameters!$B$30))</f>
        <v>2698933.333333333</v>
      </c>
      <c r="G18" s="26"/>
      <c r="H18" s="26"/>
      <c r="I18" s="26"/>
      <c r="J18" s="26"/>
    </row>
    <row r="19" spans="1:10" ht="12.75">
      <c r="A19" s="62">
        <v>7</v>
      </c>
      <c r="B19" s="29">
        <v>6002</v>
      </c>
      <c r="C19" s="29">
        <v>6437</v>
      </c>
      <c r="D19" s="29">
        <v>6317</v>
      </c>
      <c r="E19" s="35">
        <f>IF(Parameters!$B$33="Yes",AVERAGE(G19:J19),AVERAGE(B19:D19))</f>
        <v>6252</v>
      </c>
      <c r="F19" s="35">
        <f>IF(Parameters!$B$33="Yes",E19*10000,(E19-Parameters!$B$31)*Parameters!$B$32*(100/Parameters!$B$29)*(500/Parameters!$B$30))</f>
        <v>2495600</v>
      </c>
      <c r="G19" s="26"/>
      <c r="H19" s="26"/>
      <c r="I19" s="26"/>
      <c r="J19" s="26"/>
    </row>
    <row r="20" spans="1:10" ht="12.75">
      <c r="A20" s="62">
        <v>8</v>
      </c>
      <c r="B20" s="29">
        <v>9216</v>
      </c>
      <c r="C20" s="29">
        <v>9905</v>
      </c>
      <c r="D20" s="29">
        <v>9345</v>
      </c>
      <c r="E20" s="35">
        <f>IF(Parameters!$B$33="Yes",AVERAGE(G20:J20),AVERAGE(B20:D20))</f>
        <v>9488.666666666666</v>
      </c>
      <c r="F20" s="35">
        <f>IF(Parameters!$B$33="Yes",E20*10000,(E20-Parameters!$B$31)*Parameters!$B$32*(100/Parameters!$B$29)*(500/Parameters!$B$30))</f>
        <v>3790266.6666666665</v>
      </c>
      <c r="G20" s="26"/>
      <c r="H20" s="26"/>
      <c r="I20" s="26"/>
      <c r="J20" s="26"/>
    </row>
    <row r="21" spans="1:10" ht="12.75">
      <c r="A21" s="62">
        <v>9</v>
      </c>
      <c r="B21" s="29">
        <v>7031</v>
      </c>
      <c r="C21" s="29">
        <v>7112</v>
      </c>
      <c r="D21" s="29">
        <v>7182</v>
      </c>
      <c r="E21" s="35">
        <f>IF(Parameters!$B$33="Yes",AVERAGE(G21:J21),AVERAGE(B21:D21))</f>
        <v>7108.333333333333</v>
      </c>
      <c r="F21" s="35">
        <f>IF(Parameters!$B$33="Yes",E21*10000,(E21-Parameters!$B$31)*Parameters!$B$32*(100/Parameters!$B$29)*(500/Parameters!$B$30))</f>
        <v>2838133.333333333</v>
      </c>
      <c r="G21" s="26"/>
      <c r="H21" s="26"/>
      <c r="I21" s="26"/>
      <c r="J21" s="26"/>
    </row>
    <row r="22" spans="1:10" ht="12.75">
      <c r="A22" s="62">
        <v>10</v>
      </c>
      <c r="B22" s="29">
        <v>6309</v>
      </c>
      <c r="C22" s="29">
        <v>6002</v>
      </c>
      <c r="D22" s="29">
        <v>6007</v>
      </c>
      <c r="E22" s="35">
        <f>IF(Parameters!$B$33="Yes",AVERAGE(G22:J22),AVERAGE(B22:D22))</f>
        <v>6106</v>
      </c>
      <c r="F22" s="35">
        <f>IF(Parameters!$B$33="Yes",E22*10000,(E22-Parameters!$B$31)*Parameters!$B$32*(100/Parameters!$B$29)*(500/Parameters!$B$30))</f>
        <v>2437200</v>
      </c>
      <c r="G22" s="26"/>
      <c r="H22" s="26"/>
      <c r="I22" s="26"/>
      <c r="J22" s="26"/>
    </row>
    <row r="29" spans="1:10" ht="12.75">
      <c r="A29" s="62" t="s">
        <v>1</v>
      </c>
      <c r="B29" s="31" t="s">
        <v>63</v>
      </c>
      <c r="C29" s="31" t="s">
        <v>65</v>
      </c>
      <c r="D29" s="20"/>
      <c r="E29" s="20" t="s">
        <v>50</v>
      </c>
      <c r="F29" s="20"/>
      <c r="G29" s="31" t="s">
        <v>8</v>
      </c>
      <c r="H29" s="31" t="s">
        <v>52</v>
      </c>
      <c r="I29" s="31" t="s">
        <v>14</v>
      </c>
      <c r="J29" s="31" t="s">
        <v>14</v>
      </c>
    </row>
    <row r="30" spans="2:10" ht="12.75">
      <c r="B30" s="31" t="s">
        <v>64</v>
      </c>
      <c r="C30" s="31" t="s">
        <v>64</v>
      </c>
      <c r="D30" s="31" t="s">
        <v>4</v>
      </c>
      <c r="E30" s="31" t="s">
        <v>3</v>
      </c>
      <c r="F30" s="31" t="s">
        <v>5</v>
      </c>
      <c r="G30" s="31"/>
      <c r="H30" s="31"/>
      <c r="I30" s="31" t="s">
        <v>67</v>
      </c>
      <c r="J30" s="31" t="s">
        <v>68</v>
      </c>
    </row>
    <row r="31" spans="2:10" ht="12.75">
      <c r="B31" s="31" t="s">
        <v>51</v>
      </c>
      <c r="C31" s="31" t="s">
        <v>51</v>
      </c>
      <c r="D31" s="20"/>
      <c r="E31" s="20"/>
      <c r="F31" s="20"/>
      <c r="G31" s="20"/>
      <c r="H31" s="20"/>
      <c r="I31" s="20"/>
      <c r="J31" s="20"/>
    </row>
    <row r="32" spans="4:8" ht="12.75">
      <c r="D32" s="10"/>
      <c r="E32" s="10"/>
      <c r="F32" s="10"/>
      <c r="G32" s="10"/>
      <c r="H32" s="10"/>
    </row>
    <row r="33" spans="4:8" ht="12.75">
      <c r="D33" s="10"/>
      <c r="E33" s="10"/>
      <c r="F33" s="10"/>
      <c r="G33" s="10"/>
      <c r="H33" s="10"/>
    </row>
    <row r="34" spans="4:8" ht="12.75">
      <c r="D34" s="10"/>
      <c r="E34" s="10"/>
      <c r="F34" s="10"/>
      <c r="G34" s="10"/>
      <c r="H34" s="10"/>
    </row>
    <row r="35" spans="1:10" ht="12.75">
      <c r="A35" s="63">
        <v>1</v>
      </c>
      <c r="B35" s="26">
        <v>200</v>
      </c>
      <c r="C35" s="34">
        <f>F13/(10000*200/B35)</f>
        <v>344.84</v>
      </c>
      <c r="D35" s="28">
        <v>121</v>
      </c>
      <c r="E35" s="28">
        <v>75</v>
      </c>
      <c r="F35" s="28">
        <v>133</v>
      </c>
      <c r="G35" s="34">
        <f>AVERAGE(D35:F36)</f>
        <v>128</v>
      </c>
      <c r="H35" s="44">
        <f>G35/AVERAGE($C$35,$C$36)*100</f>
        <v>37.4948737477298</v>
      </c>
      <c r="I35" s="59">
        <f>G35*200/B35/$G$35</f>
        <v>1</v>
      </c>
      <c r="J35" s="58">
        <f>(G35/AVERAGE(C35:C36))/($G$35/AVERAGE($C$35,$C$36))</f>
        <v>1</v>
      </c>
    </row>
    <row r="36" spans="1:10" ht="12.75">
      <c r="A36" s="63">
        <v>2</v>
      </c>
      <c r="B36" s="26">
        <v>200</v>
      </c>
      <c r="C36" s="34">
        <f aca="true" t="shared" si="0" ref="C36:C44">F14/(10000*200/B36)</f>
        <v>337.92</v>
      </c>
      <c r="D36" s="28">
        <v>159</v>
      </c>
      <c r="E36" s="28">
        <v>136</v>
      </c>
      <c r="F36" s="28">
        <v>144</v>
      </c>
      <c r="G36" s="34"/>
      <c r="H36" s="44"/>
      <c r="I36" s="45"/>
      <c r="J36" s="37"/>
    </row>
    <row r="37" spans="1:10" ht="12.75">
      <c r="A37" s="62">
        <v>3</v>
      </c>
      <c r="B37" s="26">
        <v>200</v>
      </c>
      <c r="C37" s="35">
        <f t="shared" si="0"/>
        <v>264.9066666666667</v>
      </c>
      <c r="D37" s="29">
        <v>87</v>
      </c>
      <c r="E37" s="29">
        <v>81</v>
      </c>
      <c r="F37" s="29">
        <v>52</v>
      </c>
      <c r="G37" s="35">
        <f aca="true" t="shared" si="1" ref="G37:G44">AVERAGE(D37:F37)</f>
        <v>73.33333333333333</v>
      </c>
      <c r="H37" s="46">
        <f aca="true" t="shared" si="2" ref="H37:H44">G37/C37*100</f>
        <v>27.6827058586672</v>
      </c>
      <c r="I37" s="37">
        <f aca="true" t="shared" si="3" ref="I37:I44">G37*200/B37/$G$35</f>
        <v>0.5729166666666666</v>
      </c>
      <c r="J37" s="37">
        <f>(G37/C37)/($G$35/AVERAGE($C$35,$C$36))</f>
        <v>0.738306416096235</v>
      </c>
    </row>
    <row r="38" spans="1:10" ht="12.75">
      <c r="A38" s="62">
        <v>4</v>
      </c>
      <c r="B38" s="26">
        <v>200</v>
      </c>
      <c r="C38" s="35">
        <f t="shared" si="0"/>
        <v>218.5466666666667</v>
      </c>
      <c r="D38" s="29">
        <v>83</v>
      </c>
      <c r="E38" s="29">
        <v>85</v>
      </c>
      <c r="F38" s="29">
        <v>87</v>
      </c>
      <c r="G38" s="35">
        <f t="shared" si="1"/>
        <v>85</v>
      </c>
      <c r="H38" s="46">
        <f t="shared" si="2"/>
        <v>38.893295100970036</v>
      </c>
      <c r="I38" s="37">
        <f t="shared" si="3"/>
        <v>0.6640625</v>
      </c>
      <c r="J38" s="37">
        <f aca="true" t="shared" si="4" ref="J38:J44">(G38/C38)/($G$35/AVERAGE($C$35,$C$36))</f>
        <v>1.03729633449759</v>
      </c>
    </row>
    <row r="39" spans="1:10" ht="12.75">
      <c r="A39" s="62">
        <v>5</v>
      </c>
      <c r="B39" s="26">
        <v>200</v>
      </c>
      <c r="C39" s="35">
        <f t="shared" si="0"/>
        <v>97.98666666666666</v>
      </c>
      <c r="D39" s="29">
        <v>70</v>
      </c>
      <c r="E39" s="29"/>
      <c r="F39" s="29"/>
      <c r="G39" s="35">
        <f t="shared" si="1"/>
        <v>70</v>
      </c>
      <c r="H39" s="46">
        <f t="shared" si="2"/>
        <v>71.43829092393523</v>
      </c>
      <c r="I39" s="37">
        <f t="shared" si="3"/>
        <v>0.546875</v>
      </c>
      <c r="J39" s="37">
        <f t="shared" si="4"/>
        <v>1.9052815434072665</v>
      </c>
    </row>
    <row r="40" spans="1:10" ht="12.75">
      <c r="A40" s="62">
        <v>6</v>
      </c>
      <c r="B40" s="26">
        <v>200</v>
      </c>
      <c r="C40" s="35">
        <f t="shared" si="0"/>
        <v>269.8933333333333</v>
      </c>
      <c r="D40" s="29">
        <v>80</v>
      </c>
      <c r="E40" s="29">
        <v>78</v>
      </c>
      <c r="F40" s="29"/>
      <c r="G40" s="35">
        <f t="shared" si="1"/>
        <v>79</v>
      </c>
      <c r="H40" s="46">
        <f t="shared" si="2"/>
        <v>29.270823041201467</v>
      </c>
      <c r="I40" s="37">
        <f t="shared" si="3"/>
        <v>0.6171875</v>
      </c>
      <c r="J40" s="37">
        <f t="shared" si="4"/>
        <v>0.7806619976410435</v>
      </c>
    </row>
    <row r="41" spans="1:10" ht="12.75">
      <c r="A41" s="62">
        <v>7</v>
      </c>
      <c r="B41" s="26">
        <v>200</v>
      </c>
      <c r="C41" s="35">
        <f t="shared" si="0"/>
        <v>249.56</v>
      </c>
      <c r="D41" s="29">
        <v>55</v>
      </c>
      <c r="E41" s="29">
        <v>70</v>
      </c>
      <c r="F41" s="29">
        <v>70</v>
      </c>
      <c r="G41" s="35">
        <f t="shared" si="1"/>
        <v>65</v>
      </c>
      <c r="H41" s="46">
        <f t="shared" si="2"/>
        <v>26.04584067959609</v>
      </c>
      <c r="I41" s="37">
        <f t="shared" si="3"/>
        <v>0.5078125</v>
      </c>
      <c r="J41" s="37">
        <f t="shared" si="4"/>
        <v>0.6946507102500401</v>
      </c>
    </row>
    <row r="42" spans="1:10" ht="12.75">
      <c r="A42" s="62">
        <v>8</v>
      </c>
      <c r="B42" s="26">
        <v>200</v>
      </c>
      <c r="C42" s="35">
        <f t="shared" si="0"/>
        <v>379.02666666666664</v>
      </c>
      <c r="D42" s="29">
        <v>118</v>
      </c>
      <c r="E42" s="29">
        <v>118</v>
      </c>
      <c r="F42" s="29">
        <v>135</v>
      </c>
      <c r="G42" s="35">
        <f t="shared" si="1"/>
        <v>123.66666666666667</v>
      </c>
      <c r="H42" s="46">
        <f t="shared" si="2"/>
        <v>32.627431667077076</v>
      </c>
      <c r="I42" s="37">
        <f t="shared" si="3"/>
        <v>0.9661458333333335</v>
      </c>
      <c r="J42" s="37">
        <f t="shared" si="4"/>
        <v>0.8701837986333417</v>
      </c>
    </row>
    <row r="43" spans="1:10" ht="12.75">
      <c r="A43" s="62">
        <v>9</v>
      </c>
      <c r="B43" s="26">
        <v>200</v>
      </c>
      <c r="C43" s="35">
        <f t="shared" si="0"/>
        <v>283.8133333333333</v>
      </c>
      <c r="D43" s="29">
        <v>81</v>
      </c>
      <c r="E43" s="29">
        <v>90</v>
      </c>
      <c r="F43" s="29"/>
      <c r="G43" s="35">
        <f t="shared" si="1"/>
        <v>85.5</v>
      </c>
      <c r="H43" s="46">
        <f t="shared" si="2"/>
        <v>30.125434557925402</v>
      </c>
      <c r="I43" s="37">
        <f t="shared" si="3"/>
        <v>0.66796875</v>
      </c>
      <c r="J43" s="37">
        <f t="shared" si="4"/>
        <v>0.8034547538581699</v>
      </c>
    </row>
    <row r="44" spans="1:10" ht="12.75">
      <c r="A44" s="62">
        <v>10</v>
      </c>
      <c r="B44" s="26">
        <v>2000</v>
      </c>
      <c r="C44" s="35">
        <f t="shared" si="0"/>
        <v>2437.2</v>
      </c>
      <c r="D44" s="29">
        <v>131</v>
      </c>
      <c r="E44" s="29">
        <v>123</v>
      </c>
      <c r="F44" s="29">
        <v>137</v>
      </c>
      <c r="G44" s="35">
        <f t="shared" si="1"/>
        <v>130.33333333333334</v>
      </c>
      <c r="H44" s="46">
        <f t="shared" si="2"/>
        <v>5.347666721374256</v>
      </c>
      <c r="I44" s="37">
        <f t="shared" si="3"/>
        <v>0.10182291666666667</v>
      </c>
      <c r="J44" s="37">
        <f t="shared" si="4"/>
        <v>0.14262394260490183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portrait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4"/>
  <sheetViews>
    <sheetView workbookViewId="0" topLeftCell="A1">
      <pane xSplit="11610" topLeftCell="U1" activePane="topLeft" state="split"/>
      <selection pane="topLeft" activeCell="D45" sqref="D45"/>
      <selection pane="topRight" activeCell="X114" sqref="X114:Y126"/>
    </sheetView>
  </sheetViews>
  <sheetFormatPr defaultColWidth="9.140625" defaultRowHeight="12.75"/>
  <cols>
    <col min="1" max="1" width="6.140625" style="0" customWidth="1"/>
    <col min="2" max="2" width="11.140625" style="0" customWidth="1"/>
    <col min="3" max="3" width="12.421875" style="0" customWidth="1"/>
    <col min="4" max="4" width="11.8515625" style="0" customWidth="1"/>
    <col min="5" max="5" width="8.57421875" style="0" customWidth="1"/>
    <col min="6" max="6" width="10.140625" style="0" customWidth="1"/>
    <col min="7" max="7" width="10.00390625" style="0" customWidth="1"/>
    <col min="8" max="8" width="12.00390625" style="0" customWidth="1"/>
    <col min="9" max="9" width="11.7109375" style="0" customWidth="1"/>
    <col min="10" max="10" width="9.28125" style="0" customWidth="1"/>
    <col min="16" max="16" width="9.421875" style="0" customWidth="1"/>
  </cols>
  <sheetData>
    <row r="1" spans="1:10" ht="12.7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1" t="s">
        <v>45</v>
      </c>
      <c r="B3" s="21"/>
      <c r="C3" s="21" t="str">
        <f>Parameters!$B$3</f>
        <v>Jan., 15, 2001</v>
      </c>
      <c r="D3" s="21"/>
      <c r="E3" s="21"/>
      <c r="F3" s="21"/>
      <c r="G3" s="21"/>
      <c r="H3" s="21"/>
      <c r="I3" s="21"/>
      <c r="J3" s="21"/>
    </row>
    <row r="4" spans="1:10" ht="12.75">
      <c r="A4" s="21" t="s">
        <v>66</v>
      </c>
      <c r="B4" s="21"/>
      <c r="C4" s="30" t="str">
        <f>Parameters!$B$1</f>
        <v>Jan., 15, 2001</v>
      </c>
      <c r="D4" s="21"/>
      <c r="E4" s="21"/>
      <c r="F4" s="21"/>
      <c r="G4" s="21"/>
      <c r="H4" s="21"/>
      <c r="I4" s="21"/>
      <c r="J4" s="21"/>
    </row>
    <row r="5" spans="1:10" ht="12.7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9" ht="12.75">
      <c r="A7" s="20" t="s">
        <v>1</v>
      </c>
      <c r="B7" s="31"/>
      <c r="C7" s="31" t="s">
        <v>40</v>
      </c>
      <c r="D7" s="31"/>
      <c r="E7" s="31" t="s">
        <v>9</v>
      </c>
      <c r="F7" s="31" t="s">
        <v>9</v>
      </c>
      <c r="G7" s="31" t="s">
        <v>6</v>
      </c>
      <c r="H7" s="31" t="s">
        <v>74</v>
      </c>
      <c r="I7" s="31" t="s">
        <v>75</v>
      </c>
      <c r="J7" s="31" t="s">
        <v>75</v>
      </c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20"/>
      <c r="B8" s="31"/>
      <c r="C8" s="31" t="s">
        <v>2</v>
      </c>
      <c r="D8" s="31"/>
      <c r="E8" s="31" t="s">
        <v>8</v>
      </c>
      <c r="F8" s="31" t="s">
        <v>10</v>
      </c>
      <c r="G8" s="31" t="s">
        <v>41</v>
      </c>
      <c r="H8" s="32" t="s">
        <v>76</v>
      </c>
      <c r="I8" s="32" t="s">
        <v>77</v>
      </c>
      <c r="J8" s="31" t="s">
        <v>44</v>
      </c>
      <c r="K8" s="8"/>
      <c r="L8" s="8"/>
      <c r="M8" s="8"/>
      <c r="N8" s="8"/>
      <c r="O8" s="8"/>
      <c r="P8" s="8"/>
      <c r="Q8" s="8"/>
      <c r="R8" s="8"/>
      <c r="S8" s="8"/>
    </row>
    <row r="9" spans="1:19" ht="14.25" customHeight="1">
      <c r="A9" s="20"/>
      <c r="B9" s="31" t="s">
        <v>4</v>
      </c>
      <c r="C9" s="31" t="s">
        <v>3</v>
      </c>
      <c r="D9" s="31" t="s">
        <v>5</v>
      </c>
      <c r="E9" s="31"/>
      <c r="F9" s="31" t="s">
        <v>11</v>
      </c>
      <c r="G9" s="31"/>
      <c r="H9" s="31" t="s">
        <v>7</v>
      </c>
      <c r="I9" s="31" t="s">
        <v>42</v>
      </c>
      <c r="J9" s="31" t="s">
        <v>42</v>
      </c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21"/>
      <c r="B10" s="31"/>
      <c r="C10" s="31"/>
      <c r="D10" s="31"/>
      <c r="E10" s="31"/>
      <c r="F10" s="31"/>
      <c r="G10" s="31"/>
      <c r="H10" s="31"/>
      <c r="I10" s="31" t="s">
        <v>43</v>
      </c>
      <c r="J10" s="31"/>
      <c r="K10" s="8"/>
      <c r="L10" s="8"/>
      <c r="M10" s="8"/>
      <c r="N10" s="8"/>
      <c r="O10" s="8"/>
      <c r="P10" s="8"/>
      <c r="Q10" s="8"/>
      <c r="R10" s="8"/>
      <c r="S10" s="8"/>
    </row>
    <row r="11" spans="1:19" s="19" customFormat="1" ht="13.5" thickBot="1">
      <c r="A11" s="16"/>
      <c r="B11" s="16"/>
      <c r="C11" s="16"/>
      <c r="D11" s="16"/>
      <c r="E11" s="17"/>
      <c r="F11" s="17"/>
      <c r="G11" s="17"/>
      <c r="H11" s="17"/>
      <c r="I11" s="17"/>
      <c r="J11" s="16"/>
      <c r="K11" s="18"/>
      <c r="L11" s="18"/>
      <c r="M11" s="18"/>
      <c r="N11" s="18"/>
      <c r="O11" s="18"/>
      <c r="P11" s="18"/>
      <c r="Q11" s="18"/>
      <c r="R11" s="18"/>
      <c r="S11" s="18"/>
    </row>
    <row r="12" spans="1:10" ht="12.75">
      <c r="A12" s="20"/>
      <c r="B12" s="10"/>
      <c r="C12" s="10"/>
      <c r="D12" s="10"/>
      <c r="E12" s="10"/>
      <c r="F12" s="10"/>
      <c r="G12" s="10"/>
      <c r="H12" s="10"/>
      <c r="I12" s="10"/>
      <c r="J12" s="10"/>
    </row>
    <row r="13" spans="1:15" ht="12.75">
      <c r="A13" s="33">
        <v>1</v>
      </c>
      <c r="B13" s="28">
        <v>15</v>
      </c>
      <c r="C13" s="28">
        <v>15</v>
      </c>
      <c r="D13" s="28">
        <v>17</v>
      </c>
      <c r="E13" s="34">
        <f>AVERAGE(B13:D13,B14:D14)</f>
        <v>16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O13" s="2"/>
    </row>
    <row r="14" spans="1:15" ht="12.75">
      <c r="A14" s="33">
        <v>2</v>
      </c>
      <c r="B14" s="28">
        <v>14</v>
      </c>
      <c r="C14" s="28">
        <v>24</v>
      </c>
      <c r="D14" s="28">
        <v>11</v>
      </c>
      <c r="E14" s="34"/>
      <c r="F14" s="40">
        <v>0</v>
      </c>
      <c r="G14" s="40">
        <v>0</v>
      </c>
      <c r="H14" s="40">
        <v>0</v>
      </c>
      <c r="I14" s="40">
        <v>0</v>
      </c>
      <c r="J14" s="40">
        <v>0</v>
      </c>
      <c r="O14" s="2"/>
    </row>
    <row r="15" spans="1:18" ht="12.75">
      <c r="A15" s="20">
        <v>3</v>
      </c>
      <c r="B15" s="29">
        <v>42436</v>
      </c>
      <c r="C15" s="29">
        <v>43944</v>
      </c>
      <c r="D15" s="29">
        <v>42168</v>
      </c>
      <c r="E15" s="35">
        <f>AVERAGE(B15:D15)</f>
        <v>42849.333333333336</v>
      </c>
      <c r="F15" s="36">
        <f>(E15-E13)</f>
        <v>42833.333333333336</v>
      </c>
      <c r="G15" s="35">
        <f>F15/(Parameters!$B$9*Parameters!$B$20)</f>
        <v>65897.4358974359</v>
      </c>
      <c r="H15" s="37">
        <f>G15/(37000*60*Parameters!$B$26/1000)</f>
        <v>0.9894509894509895</v>
      </c>
      <c r="I15" s="37">
        <f>H15/EXP(-0.693*Parameters!$D$24/(Parameters!$B$8*24))</f>
        <v>0.9896922558704778</v>
      </c>
      <c r="J15" s="37">
        <f>I15*37</f>
        <v>36.61861346720768</v>
      </c>
      <c r="O15" s="2"/>
      <c r="P15" s="9"/>
      <c r="Q15" s="2"/>
      <c r="R15" s="1"/>
    </row>
    <row r="16" spans="1:18" ht="12.75">
      <c r="A16" s="20">
        <v>4</v>
      </c>
      <c r="B16" s="29">
        <v>83786</v>
      </c>
      <c r="C16" s="29">
        <v>71187</v>
      </c>
      <c r="D16" s="29">
        <v>81633</v>
      </c>
      <c r="E16" s="35">
        <f aca="true" t="shared" si="0" ref="E16:E22">AVERAGE(B16:D16)</f>
        <v>78868.66666666667</v>
      </c>
      <c r="F16" s="36">
        <f>E16-E13</f>
        <v>78852.66666666667</v>
      </c>
      <c r="G16" s="35">
        <f>F16/(Parameters!$B$9*Parameters!$B$20)</f>
        <v>121311.79487179487</v>
      </c>
      <c r="H16" s="37">
        <f>G16/(37000*60*Parameters!$B$26/1000)</f>
        <v>1.8214984214984216</v>
      </c>
      <c r="I16" s="37">
        <f>H16/EXP(-0.693*Parameters!$D$24/(Parameters!$B$8*24))</f>
        <v>1.8219425732623227</v>
      </c>
      <c r="J16" s="37">
        <f aca="true" t="shared" si="1" ref="J16:J22">I16*37</f>
        <v>67.41187521070594</v>
      </c>
      <c r="O16" s="2"/>
      <c r="P16" s="9"/>
      <c r="Q16" s="2"/>
      <c r="R16" s="1"/>
    </row>
    <row r="17" spans="1:18" ht="12.75">
      <c r="A17" s="20">
        <v>5</v>
      </c>
      <c r="B17" s="29">
        <v>146740</v>
      </c>
      <c r="C17" s="29">
        <v>142060</v>
      </c>
      <c r="D17" s="29">
        <v>148333</v>
      </c>
      <c r="E17" s="35">
        <f t="shared" si="0"/>
        <v>145711</v>
      </c>
      <c r="F17" s="36">
        <f>E17-E13</f>
        <v>145695</v>
      </c>
      <c r="G17" s="35">
        <f>F17/(Parameters!$B$9*Parameters!$B$20)</f>
        <v>224146.15384615384</v>
      </c>
      <c r="H17" s="37">
        <f>G17/(37000*60*Parameters!$B$26/1000)</f>
        <v>3.3655578655578657</v>
      </c>
      <c r="I17" s="37">
        <f>H17/EXP(-0.693*Parameters!$D$24/(Parameters!$B$8*24))</f>
        <v>3.3663785187326676</v>
      </c>
      <c r="J17" s="37">
        <f t="shared" si="1"/>
        <v>124.5560051931087</v>
      </c>
      <c r="O17" s="2"/>
      <c r="P17" s="9"/>
      <c r="Q17" s="2"/>
      <c r="R17" s="1"/>
    </row>
    <row r="18" spans="1:18" ht="12.75">
      <c r="A18" s="20">
        <v>6</v>
      </c>
      <c r="B18" s="29">
        <v>311167</v>
      </c>
      <c r="C18" s="29">
        <v>231130</v>
      </c>
      <c r="D18" s="29">
        <v>203510</v>
      </c>
      <c r="E18" s="35">
        <f t="shared" si="0"/>
        <v>248602.33333333334</v>
      </c>
      <c r="F18" s="36">
        <f>E18-E13</f>
        <v>248586.33333333334</v>
      </c>
      <c r="G18" s="35">
        <f>F18/(Parameters!$B$9*Parameters!$B$20)</f>
        <v>382440.5128205128</v>
      </c>
      <c r="H18" s="37">
        <f>G18/(37000*60*Parameters!$B$26/1000)</f>
        <v>5.742350042350043</v>
      </c>
      <c r="I18" s="37">
        <f>H18/EXP(-0.693*Parameters!$D$24/(Parameters!$B$8*24))</f>
        <v>5.74375024938297</v>
      </c>
      <c r="J18" s="37">
        <f t="shared" si="1"/>
        <v>212.51875922716988</v>
      </c>
      <c r="O18" s="2"/>
      <c r="P18" s="9"/>
      <c r="Q18" s="2"/>
      <c r="R18" s="1"/>
    </row>
    <row r="19" spans="1:18" ht="12.75">
      <c r="A19" s="20">
        <v>7</v>
      </c>
      <c r="B19" s="29">
        <v>348780</v>
      </c>
      <c r="C19" s="29">
        <v>322447</v>
      </c>
      <c r="D19" s="29">
        <v>319333</v>
      </c>
      <c r="E19" s="35">
        <f t="shared" si="0"/>
        <v>330186.6666666667</v>
      </c>
      <c r="F19" s="36">
        <f>E19-E13</f>
        <v>330170.6666666667</v>
      </c>
      <c r="G19" s="35">
        <f>F19/(Parameters!$B$9*Parameters!$B$20)</f>
        <v>507954.8717948718</v>
      </c>
      <c r="H19" s="37">
        <f>G19/(37000*60*Parameters!$B$26/1000)</f>
        <v>7.626950026950027</v>
      </c>
      <c r="I19" s="37">
        <f>H19/EXP(-0.693*Parameters!$D$24/(Parameters!$B$8*24))</f>
        <v>7.628809772348472</v>
      </c>
      <c r="J19" s="37">
        <f t="shared" si="1"/>
        <v>282.26596157689346</v>
      </c>
      <c r="O19" s="2"/>
      <c r="P19" s="9"/>
      <c r="Q19" s="2"/>
      <c r="R19" s="1"/>
    </row>
    <row r="20" spans="1:18" ht="12.75">
      <c r="A20" s="20">
        <v>8</v>
      </c>
      <c r="B20" s="29">
        <v>642060</v>
      </c>
      <c r="C20" s="29">
        <v>381993</v>
      </c>
      <c r="D20" s="29">
        <v>380520</v>
      </c>
      <c r="E20" s="35">
        <f t="shared" si="0"/>
        <v>468191</v>
      </c>
      <c r="F20" s="36">
        <f>E20-E13</f>
        <v>468175</v>
      </c>
      <c r="G20" s="35">
        <f>F20/(Parameters!$B$9*Parameters!$B$20)</f>
        <v>720269.2307692308</v>
      </c>
      <c r="H20" s="37">
        <f>G20/(37000*60*Parameters!$B$26/1000)</f>
        <v>10.814853314853314</v>
      </c>
      <c r="I20" s="37">
        <f>H20/EXP(-0.693*Parameters!$D$24/(Parameters!$B$8*24))</f>
        <v>10.817490394369514</v>
      </c>
      <c r="J20" s="37">
        <f t="shared" si="1"/>
        <v>400.24714459167205</v>
      </c>
      <c r="O20" s="2"/>
      <c r="P20" s="9"/>
      <c r="Q20" s="2"/>
      <c r="R20" s="1"/>
    </row>
    <row r="21" spans="1:18" ht="12.75">
      <c r="A21" s="20">
        <v>9</v>
      </c>
      <c r="B21" s="29">
        <v>538280</v>
      </c>
      <c r="C21" s="29">
        <v>787693</v>
      </c>
      <c r="D21" s="29">
        <v>493180</v>
      </c>
      <c r="E21" s="35">
        <f t="shared" si="0"/>
        <v>606384.3333333334</v>
      </c>
      <c r="F21" s="36">
        <f>E21-E13</f>
        <v>606368.3333333334</v>
      </c>
      <c r="G21" s="35">
        <f>F21/(Parameters!$B$9*Parameters!$B$20)</f>
        <v>932874.358974359</v>
      </c>
      <c r="H21" s="37">
        <f>G21/(37000*60*Parameters!$B$26/1000)</f>
        <v>14.007122507122508</v>
      </c>
      <c r="I21" s="37">
        <f>H21/EXP(-0.693*Parameters!$D$24/(Parameters!$B$8*24))</f>
        <v>14.010537985332805</v>
      </c>
      <c r="J21" s="37">
        <f t="shared" si="1"/>
        <v>518.3899054573138</v>
      </c>
      <c r="O21" s="2"/>
      <c r="P21" s="9"/>
      <c r="Q21" s="2"/>
      <c r="R21" s="1"/>
    </row>
    <row r="22" spans="1:18" ht="12.75">
      <c r="A22" s="20">
        <v>10</v>
      </c>
      <c r="B22" s="29">
        <v>539407</v>
      </c>
      <c r="C22" s="29">
        <v>560080</v>
      </c>
      <c r="D22" s="29">
        <v>577667</v>
      </c>
      <c r="E22" s="35">
        <f t="shared" si="0"/>
        <v>559051.3333333334</v>
      </c>
      <c r="F22" s="36">
        <f>E22-E13</f>
        <v>559035.3333333334</v>
      </c>
      <c r="G22" s="35">
        <f>F22/(Parameters!$B$9*Parameters!$B$20)</f>
        <v>860054.358974359</v>
      </c>
      <c r="H22" s="37">
        <f>G22/(37000*60*Parameters!$B$26/1000)</f>
        <v>12.913729113729113</v>
      </c>
      <c r="I22" s="37">
        <f>H22/EXP(-0.693*Parameters!$D$24/(Parameters!$B$8*24))</f>
        <v>12.916877980341738</v>
      </c>
      <c r="J22" s="37">
        <f t="shared" si="1"/>
        <v>477.9244852726443</v>
      </c>
      <c r="O22" s="2"/>
      <c r="P22" s="9"/>
      <c r="Q22" s="2"/>
      <c r="R22" s="1"/>
    </row>
    <row r="23" spans="1:18" ht="12.75">
      <c r="A23" s="10"/>
      <c r="B23" s="10"/>
      <c r="C23" s="10"/>
      <c r="D23" s="10"/>
      <c r="E23" s="11"/>
      <c r="F23" s="13"/>
      <c r="G23" s="11"/>
      <c r="H23" s="12"/>
      <c r="I23" s="10"/>
      <c r="J23" s="10"/>
      <c r="O23" s="2"/>
      <c r="P23" s="4"/>
      <c r="Q23" s="2"/>
      <c r="R23" s="1"/>
    </row>
    <row r="24" spans="1:18" ht="12.75">
      <c r="A24" s="10"/>
      <c r="B24" s="10"/>
      <c r="C24" s="10"/>
      <c r="D24" s="10"/>
      <c r="E24" s="11"/>
      <c r="F24" s="14"/>
      <c r="G24" s="11"/>
      <c r="H24" s="12"/>
      <c r="I24" s="10"/>
      <c r="J24" s="10"/>
      <c r="O24" s="2"/>
      <c r="P24" s="5"/>
      <c r="Q24" s="2"/>
      <c r="R24" s="1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2.7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33" spans="17:18" ht="12.75">
      <c r="Q33" s="3"/>
      <c r="R33" s="3"/>
    </row>
    <row r="39" spans="7:17" ht="12.75">
      <c r="G39" s="10"/>
      <c r="H39" s="10"/>
      <c r="I39" s="10"/>
      <c r="J39" s="10"/>
      <c r="O39" s="2"/>
      <c r="P39" s="2"/>
      <c r="Q39" s="6"/>
    </row>
    <row r="40" spans="7:17" ht="12.75">
      <c r="G40" s="10"/>
      <c r="H40" s="10"/>
      <c r="I40" s="10"/>
      <c r="J40" s="10"/>
      <c r="O40" s="2"/>
      <c r="P40" s="2"/>
      <c r="Q40" s="6"/>
    </row>
    <row r="41" spans="7:17" ht="12" customHeight="1">
      <c r="G41" s="10"/>
      <c r="H41" s="10"/>
      <c r="I41" s="10"/>
      <c r="J41" s="10"/>
      <c r="O41" s="2"/>
      <c r="P41" s="2"/>
      <c r="Q41" s="6"/>
    </row>
    <row r="42" spans="7:17" ht="12.75">
      <c r="G42" s="10"/>
      <c r="H42" s="10"/>
      <c r="I42" s="10"/>
      <c r="J42" s="10"/>
      <c r="O42" s="2"/>
      <c r="P42" s="2"/>
      <c r="Q42" s="6"/>
    </row>
    <row r="43" spans="7:17" ht="12.75">
      <c r="G43" s="10"/>
      <c r="H43" s="10"/>
      <c r="I43" s="10"/>
      <c r="J43" s="10"/>
      <c r="O43" s="2"/>
      <c r="P43" s="2"/>
      <c r="Q43" s="6"/>
    </row>
    <row r="44" spans="7:17" ht="12.75">
      <c r="G44" s="10"/>
      <c r="H44" s="10"/>
      <c r="I44" s="10"/>
      <c r="J44" s="10"/>
      <c r="O44" s="2"/>
      <c r="P44" s="2"/>
      <c r="Q44" s="6"/>
    </row>
    <row r="45" spans="10:17" ht="12.75">
      <c r="J45" s="3"/>
      <c r="O45" s="2"/>
      <c r="P45" s="2"/>
      <c r="Q45" s="6"/>
    </row>
    <row r="46" spans="10:17" ht="12.75">
      <c r="J46" s="10"/>
      <c r="O46" s="2"/>
      <c r="P46" s="2"/>
      <c r="Q46" s="6"/>
    </row>
    <row r="47" spans="10:17" ht="12.75">
      <c r="J47" s="10"/>
      <c r="O47" s="2"/>
      <c r="P47" s="2"/>
      <c r="Q47" s="6"/>
    </row>
    <row r="48" spans="10:17" ht="12.75">
      <c r="J48" s="10"/>
      <c r="O48" s="2"/>
      <c r="P48" s="2"/>
      <c r="Q48" s="6"/>
    </row>
    <row r="49" ht="12.75">
      <c r="J49" s="10"/>
    </row>
    <row r="50" ht="12.75" customHeight="1">
      <c r="J50" s="10"/>
    </row>
    <row r="51" ht="12.75">
      <c r="J51" s="10"/>
    </row>
    <row r="52" ht="12.75">
      <c r="J52" s="10"/>
    </row>
    <row r="53" ht="12.75">
      <c r="J53" s="15"/>
    </row>
    <row r="54" ht="12.75">
      <c r="J54" s="15"/>
    </row>
    <row r="55" ht="12.75">
      <c r="J55" s="15"/>
    </row>
    <row r="56" ht="12.75">
      <c r="J56" s="15"/>
    </row>
    <row r="57" ht="12.75">
      <c r="J57" s="15"/>
    </row>
    <row r="58" ht="12.75">
      <c r="J58" s="15"/>
    </row>
    <row r="59" ht="12.75">
      <c r="J59" s="15"/>
    </row>
    <row r="60" ht="12.75">
      <c r="J60" s="15"/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15"/>
      <c r="J61" s="10"/>
    </row>
    <row r="62" spans="1:10" ht="12.75">
      <c r="A62" s="10"/>
      <c r="B62" s="10"/>
      <c r="C62" s="10"/>
      <c r="D62" s="10"/>
      <c r="E62" s="10"/>
      <c r="F62" s="10"/>
      <c r="G62" s="10"/>
      <c r="H62" s="10"/>
      <c r="I62" s="15"/>
      <c r="J62" s="10"/>
    </row>
    <row r="63" spans="1:10" ht="12.7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2.7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114" ht="12.75">
      <c r="N114" s="7"/>
    </row>
    <row r="116" ht="12.75">
      <c r="N116" s="7"/>
    </row>
    <row r="118" ht="12.75">
      <c r="N118" s="7"/>
    </row>
    <row r="120" ht="12.75">
      <c r="N120" s="7"/>
    </row>
    <row r="122" ht="12.75">
      <c r="N122" s="7"/>
    </row>
    <row r="124" ht="12.75">
      <c r="N124" s="7"/>
    </row>
    <row r="134" ht="12.75">
      <c r="N134" s="2"/>
    </row>
  </sheetData>
  <sheetProtection password="D86A" sheet="1" objects="1" scenarios="1"/>
  <printOptions horizontalCentered="1" verticalCentered="1"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F24" sqref="F24"/>
    </sheetView>
  </sheetViews>
  <sheetFormatPr defaultColWidth="9.140625" defaultRowHeight="12.75"/>
  <cols>
    <col min="1" max="1" width="9.140625" style="20" customWidth="1"/>
    <col min="6" max="6" width="10.8515625" style="0" customWidth="1"/>
    <col min="7" max="7" width="11.57421875" style="0" customWidth="1"/>
    <col min="8" max="8" width="12.00390625" style="0" customWidth="1"/>
    <col min="9" max="9" width="11.8515625" style="0" customWidth="1"/>
    <col min="10" max="10" width="11.421875" style="0" customWidth="1"/>
  </cols>
  <sheetData>
    <row r="1" spans="2:10" ht="12.75">
      <c r="B1" s="21"/>
      <c r="C1" s="21"/>
      <c r="D1" s="21"/>
      <c r="E1" s="21"/>
      <c r="F1" s="21"/>
      <c r="G1" s="21"/>
      <c r="H1" s="21"/>
      <c r="I1" s="21"/>
      <c r="J1" s="21"/>
    </row>
    <row r="2" spans="2:10" ht="12.75"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0" t="s">
        <v>45</v>
      </c>
      <c r="B3" s="21"/>
      <c r="C3" s="21" t="str">
        <f>Parameters!$B$3</f>
        <v>Jan., 15, 2001</v>
      </c>
      <c r="D3" s="21"/>
      <c r="E3" s="21"/>
      <c r="F3" s="21"/>
      <c r="G3" s="21"/>
      <c r="H3" s="21"/>
      <c r="I3" s="21"/>
      <c r="J3" s="21"/>
    </row>
    <row r="4" spans="1:10" ht="12.75">
      <c r="A4" s="20" t="s">
        <v>66</v>
      </c>
      <c r="B4" s="21"/>
      <c r="C4" s="38" t="str">
        <f>Parameters!$B$1</f>
        <v>Jan., 15, 2001</v>
      </c>
      <c r="D4" s="21"/>
      <c r="E4" s="21"/>
      <c r="F4" s="21"/>
      <c r="G4" s="21"/>
      <c r="H4" s="21"/>
      <c r="I4" s="21"/>
      <c r="J4" s="21"/>
    </row>
    <row r="5" spans="2:10" ht="12.75">
      <c r="B5" s="21"/>
      <c r="C5" s="21"/>
      <c r="D5" s="21"/>
      <c r="E5" s="21"/>
      <c r="F5" s="21"/>
      <c r="G5" s="21"/>
      <c r="H5" s="21"/>
      <c r="I5" s="21"/>
      <c r="J5" s="21"/>
    </row>
    <row r="6" spans="2:10" ht="12.75">
      <c r="B6" s="21"/>
      <c r="C6" s="21"/>
      <c r="D6" s="21"/>
      <c r="E6" s="21"/>
      <c r="F6" s="21"/>
      <c r="G6" s="21"/>
      <c r="H6" s="21"/>
      <c r="I6" s="21"/>
      <c r="J6" s="21"/>
    </row>
    <row r="7" spans="1:10" ht="15.75">
      <c r="A7" s="20" t="s">
        <v>1</v>
      </c>
      <c r="B7" s="31"/>
      <c r="C7" s="31" t="s">
        <v>46</v>
      </c>
      <c r="D7" s="31"/>
      <c r="E7" s="39" t="s">
        <v>9</v>
      </c>
      <c r="F7" s="39" t="s">
        <v>9</v>
      </c>
      <c r="G7" s="39" t="s">
        <v>6</v>
      </c>
      <c r="H7" s="31" t="s">
        <v>78</v>
      </c>
      <c r="I7" s="31" t="s">
        <v>79</v>
      </c>
      <c r="J7" s="31" t="s">
        <v>79</v>
      </c>
    </row>
    <row r="8" spans="2:10" ht="12.75">
      <c r="B8" s="31"/>
      <c r="C8" s="31" t="s">
        <v>2</v>
      </c>
      <c r="D8" s="31"/>
      <c r="E8" s="39" t="s">
        <v>8</v>
      </c>
      <c r="F8" s="31" t="s">
        <v>10</v>
      </c>
      <c r="G8" s="31" t="s">
        <v>41</v>
      </c>
      <c r="H8" s="32" t="s">
        <v>76</v>
      </c>
      <c r="I8" s="32" t="s">
        <v>80</v>
      </c>
      <c r="J8" s="31" t="s">
        <v>57</v>
      </c>
    </row>
    <row r="9" spans="2:10" ht="12.75">
      <c r="B9" s="31" t="s">
        <v>4</v>
      </c>
      <c r="C9" s="31" t="s">
        <v>3</v>
      </c>
      <c r="D9" s="31" t="s">
        <v>5</v>
      </c>
      <c r="E9" s="39"/>
      <c r="F9" s="31" t="s">
        <v>11</v>
      </c>
      <c r="G9" s="39"/>
      <c r="H9" s="31" t="s">
        <v>7</v>
      </c>
      <c r="I9" s="31" t="s">
        <v>47</v>
      </c>
      <c r="J9" s="31" t="s">
        <v>47</v>
      </c>
    </row>
    <row r="10" spans="2:10" ht="12.75">
      <c r="B10" s="21"/>
      <c r="C10" s="21"/>
      <c r="D10" s="21"/>
      <c r="E10" s="21"/>
      <c r="F10" s="21"/>
      <c r="G10" s="21"/>
      <c r="H10" s="21"/>
      <c r="I10" s="31"/>
      <c r="J10" s="21"/>
    </row>
    <row r="11" spans="2:10" ht="12.75">
      <c r="B11" s="21"/>
      <c r="C11" s="21"/>
      <c r="D11" s="21"/>
      <c r="E11" s="21"/>
      <c r="F11" s="21"/>
      <c r="G11" s="21"/>
      <c r="H11" s="21"/>
      <c r="I11" s="21"/>
      <c r="J11" s="21"/>
    </row>
    <row r="12" spans="2:10" ht="12.75"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2.75">
      <c r="A13" s="33">
        <v>1</v>
      </c>
      <c r="B13" s="28">
        <v>13</v>
      </c>
      <c r="C13" s="28">
        <v>9</v>
      </c>
      <c r="D13" s="28">
        <v>9</v>
      </c>
      <c r="E13" s="34">
        <f>AVERAGE(B13:D14)</f>
        <v>9.833333333333334</v>
      </c>
      <c r="F13" s="34">
        <v>0</v>
      </c>
      <c r="G13" s="40">
        <v>0</v>
      </c>
      <c r="H13" s="41">
        <v>0</v>
      </c>
      <c r="I13" s="40">
        <v>0</v>
      </c>
      <c r="J13" s="58">
        <f>I13*37</f>
        <v>0</v>
      </c>
    </row>
    <row r="14" spans="1:10" ht="12.75">
      <c r="A14" s="33">
        <v>2</v>
      </c>
      <c r="B14" s="28">
        <v>14</v>
      </c>
      <c r="C14" s="28">
        <v>7</v>
      </c>
      <c r="D14" s="28">
        <v>7</v>
      </c>
      <c r="E14" s="34"/>
      <c r="F14" s="34">
        <v>0</v>
      </c>
      <c r="G14" s="40">
        <v>0</v>
      </c>
      <c r="H14" s="41">
        <v>0</v>
      </c>
      <c r="I14" s="40">
        <v>0</v>
      </c>
      <c r="J14" s="58">
        <f aca="true" t="shared" si="0" ref="J14:J22">I14*37</f>
        <v>0</v>
      </c>
    </row>
    <row r="15" spans="1:10" ht="12.75">
      <c r="A15" s="20">
        <v>3</v>
      </c>
      <c r="B15" s="29">
        <v>10044</v>
      </c>
      <c r="C15" s="29">
        <v>11344</v>
      </c>
      <c r="D15" s="29">
        <v>9532</v>
      </c>
      <c r="E15" s="35">
        <f aca="true" t="shared" si="1" ref="E15:E22">AVERAGE(B15:D15)</f>
        <v>10306.666666666666</v>
      </c>
      <c r="F15" s="35">
        <f>E15-$E$13</f>
        <v>10296.833333333332</v>
      </c>
      <c r="G15" s="35">
        <f>F15/(Parameters!$B$9*Parameters!$B$20)</f>
        <v>15841.282051282049</v>
      </c>
      <c r="H15" s="42">
        <f>G15/(37000*60*Parameters!$B$27/1000)</f>
        <v>0.07135712635712635</v>
      </c>
      <c r="I15" s="42">
        <f>H15/EXP(-0.693*(Parameters!$D$25)/(Parameters!$B$8*24))</f>
        <v>0.07139078473244881</v>
      </c>
      <c r="J15" s="37">
        <f t="shared" si="0"/>
        <v>2.6414590351006058</v>
      </c>
    </row>
    <row r="16" spans="1:10" ht="12.75">
      <c r="A16" s="20">
        <v>4</v>
      </c>
      <c r="B16" s="29">
        <v>18057</v>
      </c>
      <c r="C16" s="29">
        <v>21908</v>
      </c>
      <c r="D16" s="29">
        <v>19767</v>
      </c>
      <c r="E16" s="35">
        <f t="shared" si="1"/>
        <v>19910.666666666668</v>
      </c>
      <c r="F16" s="35">
        <f aca="true" t="shared" si="2" ref="F16:F22">E16-$E$13</f>
        <v>19900.833333333336</v>
      </c>
      <c r="G16" s="35">
        <f>F16/(Parameters!$B$9*Parameters!$B$20)</f>
        <v>30616.666666666668</v>
      </c>
      <c r="H16" s="42">
        <f>G16/(37000*60*Parameters!$B$27/1000)</f>
        <v>0.1379129129129129</v>
      </c>
      <c r="I16" s="42">
        <f>H16/EXP(-0.693*(Parameters!$D$25)/(Parameters!$B$8*24))</f>
        <v>0.13797796492413608</v>
      </c>
      <c r="J16" s="37">
        <f t="shared" si="0"/>
        <v>5.105184702193035</v>
      </c>
    </row>
    <row r="17" spans="1:10" ht="12.75">
      <c r="A17" s="20">
        <v>5</v>
      </c>
      <c r="B17" s="29">
        <v>31737</v>
      </c>
      <c r="C17" s="29">
        <v>30897</v>
      </c>
      <c r="D17" s="29">
        <v>27350</v>
      </c>
      <c r="E17" s="35">
        <f t="shared" si="1"/>
        <v>29994.666666666668</v>
      </c>
      <c r="F17" s="35">
        <f t="shared" si="2"/>
        <v>29984.833333333336</v>
      </c>
      <c r="G17" s="35">
        <f>F17/(Parameters!$B$9*Parameters!$B$20)</f>
        <v>46130.51282051282</v>
      </c>
      <c r="H17" s="42">
        <f>G17/(37000*60*Parameters!$B$27/1000)</f>
        <v>0.2077951027951028</v>
      </c>
      <c r="I17" s="42">
        <f>H17/EXP(-0.693*(Parameters!$D$25)/(Parameters!$B$8*24))</f>
        <v>0.20789311747026</v>
      </c>
      <c r="J17" s="37">
        <f t="shared" si="0"/>
        <v>7.69204534639962</v>
      </c>
    </row>
    <row r="18" spans="1:10" ht="12.75">
      <c r="A18" s="20">
        <v>6</v>
      </c>
      <c r="B18" s="29">
        <v>85647</v>
      </c>
      <c r="C18" s="29">
        <v>78100</v>
      </c>
      <c r="D18" s="29">
        <v>75800</v>
      </c>
      <c r="E18" s="35">
        <f t="shared" si="1"/>
        <v>79849</v>
      </c>
      <c r="F18" s="35">
        <f t="shared" si="2"/>
        <v>79839.16666666667</v>
      </c>
      <c r="G18" s="35">
        <f>F18/(Parameters!$B$9*Parameters!$B$20)</f>
        <v>122829.48717948719</v>
      </c>
      <c r="H18" s="42">
        <f>G18/(37000*60*Parameters!$B$27/1000)</f>
        <v>0.5532859782859784</v>
      </c>
      <c r="I18" s="42">
        <f>H18/EXP(-0.693*(Parameters!$D$25)/(Parameters!$B$8*24))</f>
        <v>0.5535469572248527</v>
      </c>
      <c r="J18" s="37">
        <f t="shared" si="0"/>
        <v>20.48123741731955</v>
      </c>
    </row>
    <row r="19" spans="1:10" ht="12.75">
      <c r="A19" s="20">
        <v>7</v>
      </c>
      <c r="B19" s="29">
        <v>49728</v>
      </c>
      <c r="C19" s="29">
        <v>38390</v>
      </c>
      <c r="D19" s="29">
        <v>87646</v>
      </c>
      <c r="E19" s="35">
        <f t="shared" si="1"/>
        <v>58588</v>
      </c>
      <c r="F19" s="35">
        <f t="shared" si="2"/>
        <v>58578.166666666664</v>
      </c>
      <c r="G19" s="35">
        <f>F19/(Parameters!$B$9*Parameters!$B$20)</f>
        <v>90120.2564102564</v>
      </c>
      <c r="H19" s="42">
        <f>G19/(37000*60*Parameters!$B$27/1000)</f>
        <v>0.4059471009471009</v>
      </c>
      <c r="I19" s="42">
        <f>H19/EXP(-0.693*(Parameters!$D$25)/(Parameters!$B$8*24))</f>
        <v>0.4061385817505228</v>
      </c>
      <c r="J19" s="37">
        <f t="shared" si="0"/>
        <v>15.027127524769345</v>
      </c>
    </row>
    <row r="20" spans="1:10" ht="12.75">
      <c r="A20" s="20">
        <v>8</v>
      </c>
      <c r="B20" s="29">
        <v>118333</v>
      </c>
      <c r="C20" s="29">
        <v>113327</v>
      </c>
      <c r="D20" s="29">
        <v>143820</v>
      </c>
      <c r="E20" s="35">
        <f t="shared" si="1"/>
        <v>125160</v>
      </c>
      <c r="F20" s="35">
        <f t="shared" si="2"/>
        <v>125150.16666666667</v>
      </c>
      <c r="G20" s="35">
        <f>F20/(Parameters!$B$9*Parameters!$B$20)</f>
        <v>192538.71794871794</v>
      </c>
      <c r="H20" s="42">
        <f>G20/(37000*60*Parameters!$B$27/1000)</f>
        <v>0.8672915222915223</v>
      </c>
      <c r="I20" s="42">
        <f>H20/EXP(-0.693*(Parameters!$D$25)/(Parameters!$B$8*24))</f>
        <v>0.8677006142079369</v>
      </c>
      <c r="J20" s="37">
        <f t="shared" si="0"/>
        <v>32.10492272569366</v>
      </c>
    </row>
    <row r="21" spans="1:10" ht="12.75">
      <c r="A21" s="20">
        <v>9</v>
      </c>
      <c r="B21" s="29">
        <v>147540</v>
      </c>
      <c r="C21" s="29">
        <v>162073</v>
      </c>
      <c r="D21" s="29">
        <v>161453</v>
      </c>
      <c r="E21" s="35">
        <f t="shared" si="1"/>
        <v>157022</v>
      </c>
      <c r="F21" s="35">
        <f t="shared" si="2"/>
        <v>157012.16666666666</v>
      </c>
      <c r="G21" s="35">
        <f>F21/(Parameters!$B$9*Parameters!$B$20)</f>
        <v>241557.17948717947</v>
      </c>
      <c r="H21" s="42">
        <f>G21/(37000*60*Parameters!$B$27/1000)</f>
        <v>1.088095403095403</v>
      </c>
      <c r="I21" s="42">
        <f>H21/EXP(-0.693*(Parameters!$D$25)/(Parameters!$B$8*24))</f>
        <v>1.0886086457851483</v>
      </c>
      <c r="J21" s="37">
        <f t="shared" si="0"/>
        <v>40.27851989405048</v>
      </c>
    </row>
    <row r="22" spans="1:10" ht="12.75">
      <c r="A22" s="20">
        <v>10</v>
      </c>
      <c r="B22" s="29">
        <v>248653</v>
      </c>
      <c r="C22" s="29">
        <v>244473</v>
      </c>
      <c r="D22" s="29">
        <v>297360</v>
      </c>
      <c r="E22" s="35">
        <f t="shared" si="1"/>
        <v>263495.3333333333</v>
      </c>
      <c r="F22" s="35">
        <f t="shared" si="2"/>
        <v>263485.5</v>
      </c>
      <c r="G22" s="35">
        <f>F22/(Parameters!$B$9*Parameters!$B$20)</f>
        <v>405362.3076923077</v>
      </c>
      <c r="H22" s="42">
        <f>G22/(37000*60*Parameters!$B$27/1000)</f>
        <v>1.8259563409563409</v>
      </c>
      <c r="I22" s="42">
        <f>H22/EXP(-0.693*(Parameters!$D$25)/(Parameters!$B$8*24))</f>
        <v>1.8268176245727625</v>
      </c>
      <c r="J22" s="37">
        <f t="shared" si="0"/>
        <v>67.59225210919222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C2">
      <selection activeCell="D22" sqref="D22"/>
    </sheetView>
  </sheetViews>
  <sheetFormatPr defaultColWidth="9.140625" defaultRowHeight="12.75"/>
  <cols>
    <col min="1" max="1" width="6.421875" style="20" customWidth="1"/>
    <col min="2" max="2" width="12.28125" style="0" customWidth="1"/>
    <col min="3" max="3" width="10.421875" style="0" customWidth="1"/>
    <col min="4" max="4" width="12.00390625" style="0" customWidth="1"/>
  </cols>
  <sheetData>
    <row r="1" spans="2:5" ht="12.75">
      <c r="B1" s="20"/>
      <c r="C1" s="20"/>
      <c r="D1" s="20"/>
      <c r="E1" s="20"/>
    </row>
    <row r="2" spans="2:5" ht="12.75">
      <c r="B2" s="20"/>
      <c r="C2" s="20"/>
      <c r="D2" s="20"/>
      <c r="E2" s="20"/>
    </row>
    <row r="3" spans="1:5" ht="12.75">
      <c r="A3" s="20" t="s">
        <v>45</v>
      </c>
      <c r="B3" s="20"/>
      <c r="C3" s="20"/>
      <c r="D3" s="20"/>
      <c r="E3" s="20"/>
    </row>
    <row r="4" spans="1:5" ht="12.75">
      <c r="A4" s="20" t="s">
        <v>12</v>
      </c>
      <c r="B4" s="20"/>
      <c r="C4" s="43" t="str">
        <f>Parameters!$B$1</f>
        <v>Jan., 15, 2001</v>
      </c>
      <c r="D4" s="20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1:5" ht="12.75">
      <c r="A7" s="20" t="s">
        <v>1</v>
      </c>
      <c r="B7" s="31" t="s">
        <v>53</v>
      </c>
      <c r="C7" s="31" t="s">
        <v>54</v>
      </c>
      <c r="D7" s="31" t="s">
        <v>56</v>
      </c>
      <c r="E7" s="31" t="s">
        <v>56</v>
      </c>
    </row>
    <row r="8" spans="2:5" ht="12.75">
      <c r="B8" s="31" t="s">
        <v>55</v>
      </c>
      <c r="C8" s="31" t="s">
        <v>13</v>
      </c>
      <c r="D8" s="31" t="s">
        <v>67</v>
      </c>
      <c r="E8" s="31" t="s">
        <v>68</v>
      </c>
    </row>
    <row r="13" spans="1:5" ht="12.75">
      <c r="A13" s="33">
        <v>1</v>
      </c>
      <c r="B13" s="44">
        <f>MediumActivity!J13</f>
        <v>0</v>
      </c>
      <c r="C13" s="44">
        <f>CellSuspension!J13/(CoulterSurvival!F13*Parameters!$B$14)*1000000</f>
        <v>0</v>
      </c>
      <c r="D13" s="58">
        <f>CoulterSurvival!I35</f>
        <v>1</v>
      </c>
      <c r="E13" s="58">
        <f>CoulterSurvival!J35</f>
        <v>1</v>
      </c>
    </row>
    <row r="14" spans="1:5" ht="12.75">
      <c r="A14" s="33">
        <v>2</v>
      </c>
      <c r="B14" s="44">
        <f>MediumActivity!J14</f>
        <v>0</v>
      </c>
      <c r="C14" s="44">
        <f>CellSuspension!J14/(CoulterSurvival!F14*Parameters!$B$14)*1000000</f>
        <v>0</v>
      </c>
      <c r="D14" s="58"/>
      <c r="E14" s="58"/>
    </row>
    <row r="15" spans="1:5" ht="12.75">
      <c r="A15" s="20">
        <v>3</v>
      </c>
      <c r="B15" s="46">
        <f>MediumActivity!J15</f>
        <v>36.61861346720768</v>
      </c>
      <c r="C15" s="46">
        <f>CellSuspension!J15/(CoulterSurvival!F15*Parameters!$B$14)*1000000</f>
        <v>1.994256368356608</v>
      </c>
      <c r="D15" s="37">
        <f>CoulterSurvival!I37</f>
        <v>0.5729166666666666</v>
      </c>
      <c r="E15" s="37">
        <f>CoulterSurvival!J37</f>
        <v>0.738306416096235</v>
      </c>
    </row>
    <row r="16" spans="1:5" ht="12.75">
      <c r="A16" s="20">
        <v>4</v>
      </c>
      <c r="B16" s="46">
        <f>MediumActivity!J16</f>
        <v>67.41187521070594</v>
      </c>
      <c r="C16" s="46">
        <f>CellSuspension!J16/(CoulterSurvival!F16*Parameters!$B$14)*1000000</f>
        <v>4.6719401215847425</v>
      </c>
      <c r="D16" s="37">
        <f>CoulterSurvival!I38</f>
        <v>0.6640625</v>
      </c>
      <c r="E16" s="37">
        <f>CoulterSurvival!J38</f>
        <v>1.03729633449759</v>
      </c>
    </row>
    <row r="17" spans="1:5" ht="12.75">
      <c r="A17" s="20">
        <v>5</v>
      </c>
      <c r="B17" s="46">
        <f>MediumActivity!J17</f>
        <v>124.5560051931087</v>
      </c>
      <c r="C17" s="46">
        <f>CellSuspension!J17/(CoulterSurvival!F17*Parameters!$B$14)*1000000</f>
        <v>15.700187807319951</v>
      </c>
      <c r="D17" s="37">
        <f>CoulterSurvival!I39</f>
        <v>0.546875</v>
      </c>
      <c r="E17" s="37">
        <f>CoulterSurvival!J39</f>
        <v>1.9052815434072665</v>
      </c>
    </row>
    <row r="18" spans="1:5" ht="12.75">
      <c r="A18" s="20">
        <v>6</v>
      </c>
      <c r="B18" s="46">
        <f>MediumActivity!J18</f>
        <v>212.51875922716988</v>
      </c>
      <c r="C18" s="46">
        <f>CellSuspension!J18/(CoulterSurvival!F18*Parameters!$B$14)*1000000</f>
        <v>15.177282939422652</v>
      </c>
      <c r="D18" s="37">
        <f>CoulterSurvival!I40</f>
        <v>0.6171875</v>
      </c>
      <c r="E18" s="37">
        <f>CoulterSurvival!J40</f>
        <v>0.7806619976410435</v>
      </c>
    </row>
    <row r="19" spans="1:5" ht="12.75">
      <c r="A19" s="20">
        <v>7</v>
      </c>
      <c r="B19" s="46">
        <f>MediumActivity!J19</f>
        <v>282.26596157689346</v>
      </c>
      <c r="C19" s="46">
        <f>CellSuspension!J19/(CoulterSurvival!F19*Parameters!$B$14)*1000000</f>
        <v>12.042897519449706</v>
      </c>
      <c r="D19" s="37">
        <f>CoulterSurvival!I41</f>
        <v>0.5078125</v>
      </c>
      <c r="E19" s="37">
        <f>CoulterSurvival!J41</f>
        <v>0.6946507102500401</v>
      </c>
    </row>
    <row r="20" spans="1:5" ht="12.75">
      <c r="A20" s="20">
        <v>8</v>
      </c>
      <c r="B20" s="46">
        <f>MediumActivity!J20</f>
        <v>400.24714459167205</v>
      </c>
      <c r="C20" s="46">
        <f>CellSuspension!J20/(CoulterSurvival!F20*Parameters!$B$14)*1000000</f>
        <v>16.94071976942361</v>
      </c>
      <c r="D20" s="37">
        <f>CoulterSurvival!I42</f>
        <v>0.9661458333333335</v>
      </c>
      <c r="E20" s="37">
        <f>CoulterSurvival!J42</f>
        <v>0.8701837986333417</v>
      </c>
    </row>
    <row r="21" spans="1:5" ht="12.75">
      <c r="A21" s="20">
        <v>9</v>
      </c>
      <c r="B21" s="46">
        <f>MediumActivity!J21</f>
        <v>518.3899054573138</v>
      </c>
      <c r="C21" s="46">
        <f>CellSuspension!J21/(CoulterSurvival!F21*Parameters!$B$14)*1000000</f>
        <v>28.383810880896238</v>
      </c>
      <c r="D21" s="37">
        <f>CoulterSurvival!I43</f>
        <v>0.66796875</v>
      </c>
      <c r="E21" s="37">
        <f>CoulterSurvival!J43</f>
        <v>0.8034547538581699</v>
      </c>
    </row>
    <row r="22" spans="1:5" ht="12.75">
      <c r="A22" s="20">
        <v>10</v>
      </c>
      <c r="B22" s="46">
        <f>MediumActivity!J22</f>
        <v>477.9244852726443</v>
      </c>
      <c r="C22" s="46">
        <f>CellSuspension!J22/(CoulterSurvival!F22*Parameters!$B$14)*1000000</f>
        <v>55.467136147375854</v>
      </c>
      <c r="D22" s="37">
        <f>CoulterSurvival!I44</f>
        <v>0.10182291666666667</v>
      </c>
      <c r="E22" s="37">
        <f>CoulterSurvival!J44</f>
        <v>0.14262394260490183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D1">
      <selection activeCell="E20" sqref="E20"/>
    </sheetView>
  </sheetViews>
  <sheetFormatPr defaultColWidth="9.140625" defaultRowHeight="12.75"/>
  <cols>
    <col min="1" max="1" width="6.421875" style="20" customWidth="1"/>
    <col min="2" max="2" width="12.28125" style="0" customWidth="1"/>
    <col min="3" max="3" width="10.421875" style="0" customWidth="1"/>
    <col min="4" max="4" width="12.00390625" style="0" customWidth="1"/>
    <col min="5" max="5" width="10.140625" style="0" bestFit="1" customWidth="1"/>
  </cols>
  <sheetData>
    <row r="1" spans="2:5" ht="12.75">
      <c r="B1" s="20"/>
      <c r="C1" s="20"/>
      <c r="D1" s="20"/>
      <c r="E1" s="20"/>
    </row>
    <row r="2" spans="2:5" ht="12.75">
      <c r="B2" s="20"/>
      <c r="C2" s="20"/>
      <c r="D2" s="20"/>
      <c r="E2" s="20"/>
    </row>
    <row r="3" spans="1:5" ht="12.75">
      <c r="A3" s="20" t="s">
        <v>45</v>
      </c>
      <c r="B3" s="20"/>
      <c r="C3" s="20"/>
      <c r="D3" s="20"/>
      <c r="E3" s="20"/>
    </row>
    <row r="4" spans="1:5" ht="12.75">
      <c r="A4" s="20" t="s">
        <v>12</v>
      </c>
      <c r="B4" s="20"/>
      <c r="C4" s="43" t="str">
        <f>Parameters!$B$1</f>
        <v>Jan., 15, 2001</v>
      </c>
      <c r="D4" s="20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1:5" ht="12.75">
      <c r="A7" s="20" t="s">
        <v>1</v>
      </c>
      <c r="B7" s="31" t="s">
        <v>53</v>
      </c>
      <c r="C7" s="31" t="s">
        <v>54</v>
      </c>
      <c r="D7" s="31" t="s">
        <v>56</v>
      </c>
      <c r="E7" s="31" t="s">
        <v>56</v>
      </c>
    </row>
    <row r="8" spans="2:5" ht="12.75">
      <c r="B8" s="31" t="s">
        <v>55</v>
      </c>
      <c r="C8" s="31" t="s">
        <v>13</v>
      </c>
      <c r="D8" s="31" t="s">
        <v>67</v>
      </c>
      <c r="E8" s="31" t="s">
        <v>68</v>
      </c>
    </row>
    <row r="13" spans="1:5" ht="12.75">
      <c r="A13" s="33">
        <v>1</v>
      </c>
      <c r="B13" s="44">
        <f>MediumActivity!J13</f>
        <v>0</v>
      </c>
      <c r="C13" s="44">
        <f>CellSuspension!J13/(CoulterSurvival!F13*Parameters!$B$14)*1000000</f>
        <v>0</v>
      </c>
      <c r="D13" s="58">
        <f>CoulterSurvival!I35</f>
        <v>1</v>
      </c>
      <c r="E13" s="58">
        <f>CoulterSurvival!J35</f>
        <v>1</v>
      </c>
    </row>
    <row r="14" spans="1:5" ht="12.75">
      <c r="A14" s="33">
        <v>2</v>
      </c>
      <c r="B14" s="44">
        <f>MediumActivity!J14</f>
        <v>0</v>
      </c>
      <c r="C14" s="44">
        <f>CellSuspension!J14/(CoulterSurvival!F14*Parameters!$B$14)*1000000</f>
        <v>0</v>
      </c>
      <c r="D14" s="58"/>
      <c r="E14" s="58"/>
    </row>
    <row r="15" spans="1:5" ht="12.75">
      <c r="A15" s="20">
        <v>3</v>
      </c>
      <c r="B15" s="46">
        <f>MediumActivity!J15</f>
        <v>36.61861346720768</v>
      </c>
      <c r="C15" s="46">
        <f>CellSuspension!J15/(CoulterSurvival!F15*Parameters!$B$14)*1000000</f>
        <v>1.994256368356608</v>
      </c>
      <c r="D15" s="37">
        <f>CoulterSurvival!I37</f>
        <v>0.5729166666666666</v>
      </c>
      <c r="E15" s="37">
        <f>CoulterSurvival!J37</f>
        <v>0.738306416096235</v>
      </c>
    </row>
    <row r="16" spans="1:5" ht="12.75">
      <c r="A16" s="20">
        <v>4</v>
      </c>
      <c r="B16" s="46">
        <f>MediumActivity!J16</f>
        <v>67.41187521070594</v>
      </c>
      <c r="C16" s="46">
        <f>CellSuspension!J16/(CoulterSurvival!F16*Parameters!$B$14)*1000000</f>
        <v>4.6719401215847425</v>
      </c>
      <c r="D16" s="37">
        <f>CoulterSurvival!I38</f>
        <v>0.6640625</v>
      </c>
      <c r="E16" s="37">
        <f>CoulterSurvival!J38</f>
        <v>1.03729633449759</v>
      </c>
    </row>
    <row r="17" spans="1:5" ht="12.75">
      <c r="A17" s="20">
        <v>5</v>
      </c>
      <c r="B17" s="46">
        <f>MediumActivity!J17</f>
        <v>124.5560051931087</v>
      </c>
      <c r="C17" s="46">
        <f>CellSuspension!J17/(CoulterSurvival!F17*Parameters!$B$14)*1000000</f>
        <v>15.700187807319951</v>
      </c>
      <c r="D17" s="37">
        <f>CoulterSurvival!I39</f>
        <v>0.546875</v>
      </c>
      <c r="E17" s="37">
        <f>CoulterSurvival!J39</f>
        <v>1.9052815434072665</v>
      </c>
    </row>
    <row r="18" spans="1:5" ht="12.75">
      <c r="A18" s="20">
        <v>6</v>
      </c>
      <c r="B18" s="46">
        <f>MediumActivity!J18</f>
        <v>212.51875922716988</v>
      </c>
      <c r="C18" s="46">
        <f>CellSuspension!J18/(CoulterSurvival!F18*Parameters!$B$14)*1000000</f>
        <v>15.177282939422652</v>
      </c>
      <c r="D18" s="37">
        <f>CoulterSurvival!I40</f>
        <v>0.6171875</v>
      </c>
      <c r="E18" s="37">
        <f>CoulterSurvival!J40</f>
        <v>0.7806619976410435</v>
      </c>
    </row>
    <row r="19" spans="1:5" ht="12.75">
      <c r="A19" s="20">
        <v>7</v>
      </c>
      <c r="B19" s="46">
        <f>MediumActivity!J19</f>
        <v>282.26596157689346</v>
      </c>
      <c r="C19" s="46">
        <f>CellSuspension!J19/(CoulterSurvival!F19*Parameters!$B$14)*1000000</f>
        <v>12.042897519449706</v>
      </c>
      <c r="D19" s="37">
        <f>CoulterSurvival!I41</f>
        <v>0.5078125</v>
      </c>
      <c r="E19" s="37">
        <f>CoulterSurvival!J41</f>
        <v>0.6946507102500401</v>
      </c>
    </row>
    <row r="20" spans="1:5" ht="12.75">
      <c r="A20" s="20">
        <v>8</v>
      </c>
      <c r="B20" s="46">
        <f>MediumActivity!J20</f>
        <v>400.24714459167205</v>
      </c>
      <c r="C20" s="46">
        <f>CellSuspension!J20/(CoulterSurvival!F20*Parameters!$B$14)*1000000</f>
        <v>16.94071976942361</v>
      </c>
      <c r="D20" s="37">
        <f>CoulterSurvival!I42</f>
        <v>0.9661458333333335</v>
      </c>
      <c r="E20" s="37">
        <f>CoulterSurvival!J42</f>
        <v>0.8701837986333417</v>
      </c>
    </row>
    <row r="21" spans="1:5" ht="12.75">
      <c r="A21" s="20">
        <v>9</v>
      </c>
      <c r="B21" s="46">
        <f>MediumActivity!J21</f>
        <v>518.3899054573138</v>
      </c>
      <c r="C21" s="46">
        <f>CellSuspension!J21/(CoulterSurvival!F21*Parameters!$B$14)*1000000</f>
        <v>28.383810880896238</v>
      </c>
      <c r="D21" s="37">
        <f>CoulterSurvival!I43</f>
        <v>0.66796875</v>
      </c>
      <c r="E21" s="37">
        <f>CoulterSurvival!J43</f>
        <v>0.8034547538581699</v>
      </c>
    </row>
    <row r="22" spans="1:5" ht="12.75">
      <c r="A22" s="20">
        <v>10</v>
      </c>
      <c r="B22" s="46">
        <f>MediumActivity!J22</f>
        <v>477.9244852726443</v>
      </c>
      <c r="C22" s="46">
        <f>CellSuspension!J22/(CoulterSurvival!F22*Parameters!$B$14)*1000000</f>
        <v>55.467136147375854</v>
      </c>
      <c r="D22" s="37">
        <f>CoulterSurvival!I44</f>
        <v>0.10182291666666667</v>
      </c>
      <c r="E22" s="37">
        <f>CoulterSurvival!J44</f>
        <v>0.14262394260490183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Roger W. Howell</Manager>
  <Company>UMDNJ - New Jersey Medical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Cluster 10 Tube Experiment</dc:title>
  <dc:subject/>
  <dc:creator>Roger W. Howell</dc:creator>
  <cp:keywords/>
  <dc:description/>
  <cp:lastModifiedBy>Roger W. Howell</cp:lastModifiedBy>
  <cp:lastPrinted>2000-12-08T19:28:39Z</cp:lastPrinted>
  <dcterms:created xsi:type="dcterms:W3CDTF">2000-10-11T19:44:58Z</dcterms:created>
  <dcterms:modified xsi:type="dcterms:W3CDTF">2001-02-07T19:24:31Z</dcterms:modified>
  <cp:category>Data Analysis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10 Tube">
    <vt:lpwstr>Version 2.1</vt:lpwstr>
  </property>
</Properties>
</file>