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firstSheet="1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</sheets>
  <definedNames/>
  <calcPr fullCalcOnLoad="1"/>
</workbook>
</file>

<file path=xl/sharedStrings.xml><?xml version="1.0" encoding="utf-8"?>
<sst xmlns="http://schemas.openxmlformats.org/spreadsheetml/2006/main" count="160" uniqueCount="107">
  <si>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</si>
  <si>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</si>
  <si>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</si>
  <si>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</si>
  <si>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</si>
  <si>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</si>
  <si>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</si>
  <si>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</si>
  <si>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</si>
  <si>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</si>
  <si>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</si>
  <si>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</si>
  <si>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</si>
  <si>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</si>
  <si>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</si>
  <si>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</si>
  <si>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</si>
  <si>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</si>
  <si>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</si>
  <si>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</si>
  <si>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</si>
  <si>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</si>
  <si>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</si>
  <si>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</si>
  <si>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</si>
  <si>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</si>
  <si>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</si>
  <si>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</si>
  <si>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</si>
  <si>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</si>
  <si>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</si>
  <si>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</si>
  <si>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</si>
  <si>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</si>
  <si>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</si>
  <si>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</si>
  <si>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</si>
  <si>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</si>
  <si>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</si>
  <si>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</si>
  <si>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</si>
  <si>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</si>
  <si>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</si>
  <si>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</si>
  <si>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</si>
  <si>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</si>
  <si>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</si>
  <si>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</si>
  <si>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</si>
  <si>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</si>
  <si>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</si>
  <si>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</si>
  <si>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</si>
  <si>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</si>
  <si>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</si>
  <si>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</si>
  <si>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</si>
  <si>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</si>
  <si>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</si>
  <si>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</si>
  <si>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</si>
  <si>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</si>
  <si>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</si>
  <si>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</si>
  <si>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</si>
  <si>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</si>
  <si>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</si>
  <si>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</si>
  <si>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</si>
  <si>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</si>
  <si>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</si>
  <si>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</si>
  <si>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</si>
  <si>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</si>
  <si>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</si>
  <si>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</si>
  <si>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</si>
  <si>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</si>
  <si>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</si>
  <si>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</si>
  <si>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</si>
  <si>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</si>
  <si>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</si>
  <si>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</si>
  <si>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</si>
  <si>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</si>
  <si>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</si>
  <si>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</si>
  <si>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</si>
  <si>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</si>
  <si>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ML - Nov.10, 2000</t>
  </si>
  <si>
    <t>M.Lenarczyk</t>
  </si>
  <si>
    <t>AL-N</t>
  </si>
  <si>
    <t>None</t>
  </si>
  <si>
    <t>H-3</t>
  </si>
  <si>
    <t>3HTdR</t>
  </si>
  <si>
    <t>11/6/00 / 12:00</t>
  </si>
  <si>
    <t>10/10/00 / 19:30</t>
  </si>
  <si>
    <t>EcoLume</t>
  </si>
  <si>
    <t>7/Plastic vial with cup</t>
  </si>
  <si>
    <t>Beckman LS5000TD</t>
  </si>
  <si>
    <t>11/10/00 / 19:30</t>
  </si>
  <si>
    <t>11/11/00 / 13:35</t>
  </si>
  <si>
    <t>11/11/00 / 15:28</t>
  </si>
  <si>
    <t>11/15/00 / 16:05</t>
  </si>
  <si>
    <t>Yes</t>
  </si>
  <si>
    <t>NCN/3106-398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</si>
</sst>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1198067"/>
        <c:axId val="30054120"/>
      </c:scatterChart>
      <c:valAx>
        <c:axId val="41198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54120"/>
        <c:crossesAt val="0.001"/>
        <c:crossBetween val="midCat"/>
        <c:dispUnits/>
      </c:valAx>
      <c:valAx>
        <c:axId val="3005412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980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1361993"/>
        <c:axId val="28013158"/>
      </c:scatterChart>
      <c:valAx>
        <c:axId val="21361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13158"/>
        <c:crosses val="autoZero"/>
        <c:crossBetween val="midCat"/>
        <c:dispUnits/>
      </c:valAx>
      <c:valAx>
        <c:axId val="28013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619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0.18945730194684818</c:v>
                </c:pt>
                <c:pt idx="3">
                  <c:v>0.2411993932132258</c:v>
                </c:pt>
                <c:pt idx="4">
                  <c:v>0.3854785799345137</c:v>
                </c:pt>
                <c:pt idx="5">
                  <c:v>0.4234085261768914</c:v>
                </c:pt>
                <c:pt idx="6">
                  <c:v>0.4312339829551948</c:v>
                </c:pt>
                <c:pt idx="7">
                  <c:v>0.6296499362411389</c:v>
                </c:pt>
                <c:pt idx="8">
                  <c:v>0.495120498948557</c:v>
                </c:pt>
                <c:pt idx="9">
                  <c:v>0.7323644017137333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0.9999999999999999</c:v>
                </c:pt>
                <c:pt idx="2">
                  <c:v>0.519736842105263</c:v>
                </c:pt>
                <c:pt idx="3">
                  <c:v>0.5065789473684211</c:v>
                </c:pt>
                <c:pt idx="4">
                  <c:v>0.3486842105263158</c:v>
                </c:pt>
                <c:pt idx="5">
                  <c:v>0.5328947368421053</c:v>
                </c:pt>
                <c:pt idx="6">
                  <c:v>0.368421052631579</c:v>
                </c:pt>
                <c:pt idx="7">
                  <c:v>0.5657894736842106</c:v>
                </c:pt>
                <c:pt idx="8">
                  <c:v>2.480263157894737</c:v>
                </c:pt>
                <c:pt idx="9">
                  <c:v>5.0657894736842115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0.18945730194684818</c:v>
                </c:pt>
                <c:pt idx="3">
                  <c:v>0.2411993932132258</c:v>
                </c:pt>
                <c:pt idx="4">
                  <c:v>0.3854785799345137</c:v>
                </c:pt>
                <c:pt idx="5">
                  <c:v>0.4234085261768914</c:v>
                </c:pt>
                <c:pt idx="6">
                  <c:v>0.4312339829551948</c:v>
                </c:pt>
                <c:pt idx="7">
                  <c:v>0.6296499362411389</c:v>
                </c:pt>
                <c:pt idx="8">
                  <c:v>0.495120498948557</c:v>
                </c:pt>
                <c:pt idx="9">
                  <c:v>0.7323644017137333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0.5197368421052632</c:v>
                </c:pt>
                <c:pt idx="3">
                  <c:v>0.5065789473684211</c:v>
                </c:pt>
                <c:pt idx="4">
                  <c:v>0.3486842105263158</c:v>
                </c:pt>
                <c:pt idx="5">
                  <c:v>0.5328947368421054</c:v>
                </c:pt>
                <c:pt idx="6">
                  <c:v>0.36842105263157904</c:v>
                </c:pt>
                <c:pt idx="7">
                  <c:v>0.5657894736842106</c:v>
                </c:pt>
                <c:pt idx="8">
                  <c:v>2.4802631578947376</c:v>
                </c:pt>
                <c:pt idx="9">
                  <c:v>5.0657894736842115</c:v>
                </c:pt>
              </c:numCache>
            </c:numRef>
          </c:yVal>
          <c:smooth val="0"/>
        </c:ser>
        <c:axId val="31081039"/>
        <c:axId val="16895188"/>
      </c:scatterChart>
      <c:valAx>
        <c:axId val="3108103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95188"/>
        <c:crossesAt val="0.001"/>
        <c:crossBetween val="midCat"/>
        <c:dispUnits/>
        <c:majorUnit val="0.5"/>
      </c:valAx>
      <c:valAx>
        <c:axId val="16895188"/>
        <c:scaling>
          <c:logBase val="10"/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8103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1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2.963485664673892</c:v>
                </c:pt>
                <c:pt idx="3">
                  <c:v>3.6917842425217327</c:v>
                </c:pt>
                <c:pt idx="4">
                  <c:v>6.1277093372092075</c:v>
                </c:pt>
                <c:pt idx="5">
                  <c:v>9.517887928458666</c:v>
                </c:pt>
                <c:pt idx="6">
                  <c:v>10.155576589344216</c:v>
                </c:pt>
                <c:pt idx="7">
                  <c:v>13.454575389939796</c:v>
                </c:pt>
                <c:pt idx="8">
                  <c:v>14.524228309048087</c:v>
                </c:pt>
                <c:pt idx="9">
                  <c:v>24.157373191630167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0.18945730194684818</c:v>
                </c:pt>
                <c:pt idx="3">
                  <c:v>0.2411993932132258</c:v>
                </c:pt>
                <c:pt idx="4">
                  <c:v>0.3854785799345137</c:v>
                </c:pt>
                <c:pt idx="5">
                  <c:v>0.4234085261768914</c:v>
                </c:pt>
                <c:pt idx="6">
                  <c:v>0.4312339829551948</c:v>
                </c:pt>
                <c:pt idx="7">
                  <c:v>0.6296499362411389</c:v>
                </c:pt>
                <c:pt idx="8">
                  <c:v>0.495120498948557</c:v>
                </c:pt>
                <c:pt idx="9">
                  <c:v>0.7323644017137333</c:v>
                </c:pt>
              </c:numCache>
            </c:numRef>
          </c:yVal>
          <c:smooth val="0"/>
        </c:ser>
        <c:axId val="23973509"/>
        <c:axId val="53097906"/>
      </c:scatterChart>
      <c:valAx>
        <c:axId val="23973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097906"/>
        <c:crosses val="autoZero"/>
        <c:crossBetween val="midCat"/>
        <c:dispUnits/>
      </c:valAx>
      <c:valAx>
        <c:axId val="5309790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73509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17" sqref="C17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>
        <v>36840</v>
      </c>
    </row>
    <row r="2" ht="12.75">
      <c r="B2" s="62"/>
    </row>
    <row r="3" spans="1:2" ht="12.75">
      <c r="A3" s="24" t="s">
        <v>15</v>
      </c>
      <c r="B3" s="49" t="s">
        <v>90</v>
      </c>
    </row>
    <row r="4" spans="1:3" ht="12.75">
      <c r="A4" s="24" t="s">
        <v>16</v>
      </c>
      <c r="B4" s="50" t="s">
        <v>91</v>
      </c>
      <c r="C4" s="20"/>
    </row>
    <row r="5" spans="1:2" ht="12.75">
      <c r="A5" s="24" t="s">
        <v>17</v>
      </c>
      <c r="B5" s="50" t="s">
        <v>92</v>
      </c>
    </row>
    <row r="6" spans="1:2" ht="12.75">
      <c r="A6" s="24" t="s">
        <v>81</v>
      </c>
      <c r="B6" s="50" t="s">
        <v>93</v>
      </c>
    </row>
    <row r="7" spans="1:2" ht="12.75">
      <c r="A7" s="24" t="s">
        <v>21</v>
      </c>
      <c r="B7" s="50" t="s">
        <v>94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95</v>
      </c>
    </row>
    <row r="11" spans="1:2" ht="12.75">
      <c r="A11" s="24" t="s">
        <v>19</v>
      </c>
      <c r="B11" s="50" t="s">
        <v>106</v>
      </c>
    </row>
    <row r="12" spans="1:4" ht="12.75">
      <c r="A12" s="24" t="s">
        <v>27</v>
      </c>
      <c r="B12" s="53" t="s">
        <v>96</v>
      </c>
      <c r="C12" s="20" t="s">
        <v>25</v>
      </c>
      <c r="D12" s="57">
        <v>37.6</v>
      </c>
    </row>
    <row r="13" spans="1:4" ht="12.75">
      <c r="A13" s="24" t="s">
        <v>28</v>
      </c>
      <c r="B13" s="53" t="s">
        <v>97</v>
      </c>
      <c r="C13" s="20" t="s">
        <v>89</v>
      </c>
      <c r="D13" s="58">
        <v>103.5</v>
      </c>
    </row>
    <row r="14" spans="1:4" ht="12.75">
      <c r="A14" s="24" t="s">
        <v>83</v>
      </c>
      <c r="B14" s="51">
        <v>1</v>
      </c>
      <c r="C14" s="20" t="s">
        <v>26</v>
      </c>
      <c r="D14" s="47">
        <f>$D$12*EXP(-0.693*$D$13/($B$8))</f>
        <v>37.0055034744731</v>
      </c>
    </row>
    <row r="15" ht="12.75">
      <c r="B15" s="62"/>
    </row>
    <row r="16" spans="1:2" ht="12.75">
      <c r="A16" s="24" t="s">
        <v>35</v>
      </c>
      <c r="B16" s="49" t="s">
        <v>98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99</v>
      </c>
    </row>
    <row r="19" spans="1:2" ht="12.75">
      <c r="A19" s="24" t="s">
        <v>36</v>
      </c>
      <c r="B19" s="50" t="s">
        <v>100</v>
      </c>
    </row>
    <row r="20" spans="1:2" ht="12.75">
      <c r="A20" s="24" t="s">
        <v>37</v>
      </c>
      <c r="B20" s="51">
        <v>0.65</v>
      </c>
    </row>
    <row r="21" ht="12.75">
      <c r="B21" s="62"/>
    </row>
    <row r="22" spans="1:2" ht="12.75">
      <c r="A22" s="24" t="s">
        <v>23</v>
      </c>
      <c r="B22" s="52" t="s">
        <v>101</v>
      </c>
    </row>
    <row r="23" spans="1:4" ht="12.75">
      <c r="A23" s="24" t="s">
        <v>24</v>
      </c>
      <c r="B23" s="53" t="s">
        <v>102</v>
      </c>
      <c r="C23" s="20" t="s">
        <v>29</v>
      </c>
      <c r="D23" s="27">
        <v>18</v>
      </c>
    </row>
    <row r="24" spans="1:4" ht="12.75">
      <c r="A24" s="24" t="s">
        <v>69</v>
      </c>
      <c r="B24" s="53" t="s">
        <v>103</v>
      </c>
      <c r="C24" s="20" t="s">
        <v>30</v>
      </c>
      <c r="D24" s="27">
        <v>20</v>
      </c>
    </row>
    <row r="25" spans="1:4" ht="12.75">
      <c r="A25" s="24" t="s">
        <v>70</v>
      </c>
      <c r="B25" s="53" t="s">
        <v>104</v>
      </c>
      <c r="C25" s="20" t="s">
        <v>71</v>
      </c>
      <c r="D25" s="27">
        <v>98.5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2"/>
    </row>
    <row r="29" spans="1:2" ht="12.75">
      <c r="A29" s="24" t="s">
        <v>60</v>
      </c>
      <c r="B29" s="49"/>
    </row>
    <row r="30" spans="1:5" ht="12.75">
      <c r="A30" s="24" t="s">
        <v>61</v>
      </c>
      <c r="B30" s="51"/>
      <c r="E30" s="20" t="s">
        <v>82</v>
      </c>
    </row>
    <row r="31" spans="1:6" ht="12.75">
      <c r="A31" s="24" t="s">
        <v>31</v>
      </c>
      <c r="B31" s="61" t="e">
        <f>AVERAGE(D32:F32)</f>
        <v>#DIV/0!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4"/>
      <c r="E32" s="55"/>
      <c r="F32" s="56"/>
    </row>
    <row r="33" spans="1:2" ht="12.75">
      <c r="A33" s="24" t="s">
        <v>84</v>
      </c>
      <c r="B33" s="65" t="s">
        <v>105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B12" sqref="B12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ML - Nov.10, 2000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36840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7</v>
      </c>
      <c r="C13" s="28">
        <v>9</v>
      </c>
      <c r="D13" s="28">
        <v>10</v>
      </c>
      <c r="E13" s="34">
        <f>AVERAGE(B13:D13,B14:D14)</f>
        <v>7.5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6</v>
      </c>
      <c r="C14" s="28">
        <v>5</v>
      </c>
      <c r="D14" s="28">
        <v>8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66">
        <v>3528</v>
      </c>
      <c r="C15" s="66">
        <v>3521</v>
      </c>
      <c r="D15" s="66">
        <v>3374</v>
      </c>
      <c r="E15" s="35">
        <f>AVERAGE(B15:D15)</f>
        <v>3474.3333333333335</v>
      </c>
      <c r="F15" s="36">
        <f>(E15-E13)</f>
        <v>3466.8333333333335</v>
      </c>
      <c r="G15" s="35">
        <f>F15/(Parameters!$B$9*Parameters!$B$20)</f>
        <v>5333.589743589743</v>
      </c>
      <c r="H15" s="37">
        <f>G15/(37000*60*Parameters!$B$26/1000)</f>
        <v>0.08008393008393008</v>
      </c>
      <c r="I15" s="37">
        <f>H15/EXP(-0.693*Parameters!$D$24/(Parameters!$B$8*24))</f>
        <v>0.08009420715334843</v>
      </c>
      <c r="J15" s="37">
        <f>I15*37</f>
        <v>2.963485664673892</v>
      </c>
      <c r="O15" s="2"/>
      <c r="P15" s="9"/>
      <c r="Q15" s="2"/>
      <c r="R15" s="1"/>
    </row>
    <row r="16" spans="1:18" ht="12.75">
      <c r="A16" s="20">
        <v>4</v>
      </c>
      <c r="B16" s="66">
        <v>4488</v>
      </c>
      <c r="C16" s="66">
        <v>3839</v>
      </c>
      <c r="D16" s="66">
        <v>4652</v>
      </c>
      <c r="E16" s="35">
        <f aca="true" t="shared" si="0" ref="E16:E22">AVERAGE(B16:D16)</f>
        <v>4326.333333333333</v>
      </c>
      <c r="F16" s="36">
        <f>E16-E13</f>
        <v>4318.833333333333</v>
      </c>
      <c r="G16" s="35">
        <f>F16/(Parameters!$B$9*Parameters!$B$20)</f>
        <v>6644.358974358974</v>
      </c>
      <c r="H16" s="37">
        <f>G16/(37000*60*Parameters!$B$26/1000)</f>
        <v>0.09976514976514976</v>
      </c>
      <c r="I16" s="37">
        <f>H16/EXP(-0.693*Parameters!$D$24/(Parameters!$B$8*24))</f>
        <v>0.09977795250058737</v>
      </c>
      <c r="J16" s="37">
        <f aca="true" t="shared" si="1" ref="J16:J22">I16*37</f>
        <v>3.6917842425217327</v>
      </c>
      <c r="O16" s="2"/>
      <c r="P16" s="9"/>
      <c r="Q16" s="2"/>
      <c r="R16" s="1"/>
    </row>
    <row r="17" spans="1:18" ht="12.75">
      <c r="A17" s="20">
        <v>5</v>
      </c>
      <c r="B17" s="66">
        <v>7553</v>
      </c>
      <c r="C17" s="66">
        <v>7363</v>
      </c>
      <c r="D17" s="66">
        <v>6612</v>
      </c>
      <c r="E17" s="35">
        <f t="shared" si="0"/>
        <v>7176</v>
      </c>
      <c r="F17" s="36">
        <f>E17-E13</f>
        <v>7168.5</v>
      </c>
      <c r="G17" s="35">
        <f>F17/(Parameters!$B$9*Parameters!$B$20)</f>
        <v>11028.461538461537</v>
      </c>
      <c r="H17" s="37">
        <f>G17/(37000*60*Parameters!$B$26/1000)</f>
        <v>0.16559251559251556</v>
      </c>
      <c r="I17" s="37">
        <f>H17/EXP(-0.693*Parameters!$D$24/(Parameters!$B$8*24))</f>
        <v>0.16561376587051913</v>
      </c>
      <c r="J17" s="37">
        <f t="shared" si="1"/>
        <v>6.1277093372092075</v>
      </c>
      <c r="O17" s="2"/>
      <c r="P17" s="9"/>
      <c r="Q17" s="2"/>
      <c r="R17" s="1"/>
    </row>
    <row r="18" spans="1:18" ht="12.75">
      <c r="A18" s="20">
        <v>6</v>
      </c>
      <c r="B18" s="66">
        <v>8886</v>
      </c>
      <c r="C18" s="66">
        <v>12700</v>
      </c>
      <c r="D18" s="66">
        <v>11840</v>
      </c>
      <c r="E18" s="35">
        <f t="shared" si="0"/>
        <v>11142</v>
      </c>
      <c r="F18" s="36">
        <f>E18-E13</f>
        <v>11134.5</v>
      </c>
      <c r="G18" s="35">
        <f>F18/(Parameters!$B$9*Parameters!$B$20)</f>
        <v>17130</v>
      </c>
      <c r="H18" s="37">
        <f>G18/(37000*60*Parameters!$B$26/1000)</f>
        <v>0.2572072072072072</v>
      </c>
      <c r="I18" s="37">
        <f>H18/EXP(-0.693*Parameters!$D$24/(Parameters!$B$8*24))</f>
        <v>0.25724021428266663</v>
      </c>
      <c r="J18" s="37">
        <f t="shared" si="1"/>
        <v>9.517887928458666</v>
      </c>
      <c r="O18" s="2"/>
      <c r="P18" s="9"/>
      <c r="Q18" s="2"/>
      <c r="R18" s="1"/>
    </row>
    <row r="19" spans="1:18" ht="12.75">
      <c r="A19" s="20">
        <v>7</v>
      </c>
      <c r="B19" s="66">
        <v>10217</v>
      </c>
      <c r="C19" s="66">
        <v>14660</v>
      </c>
      <c r="D19" s="66">
        <v>10787</v>
      </c>
      <c r="E19" s="35">
        <f t="shared" si="0"/>
        <v>11888</v>
      </c>
      <c r="F19" s="36">
        <f>E19-E13</f>
        <v>11880.5</v>
      </c>
      <c r="G19" s="35">
        <f>F19/(Parameters!$B$9*Parameters!$B$20)</f>
        <v>18277.69230769231</v>
      </c>
      <c r="H19" s="37">
        <f>G19/(37000*60*Parameters!$B$26/1000)</f>
        <v>0.27443982443982445</v>
      </c>
      <c r="I19" s="37">
        <f>H19/EXP(-0.693*Parameters!$D$24/(Parameters!$B$8*24))</f>
        <v>0.2744750429552491</v>
      </c>
      <c r="J19" s="37">
        <f t="shared" si="1"/>
        <v>10.155576589344216</v>
      </c>
      <c r="O19" s="2"/>
      <c r="P19" s="9"/>
      <c r="Q19" s="2"/>
      <c r="R19" s="1"/>
    </row>
    <row r="20" spans="1:18" ht="12.75">
      <c r="A20" s="20">
        <v>8</v>
      </c>
      <c r="B20" s="66">
        <v>11840</v>
      </c>
      <c r="C20" s="66">
        <v>16768</v>
      </c>
      <c r="D20" s="66">
        <v>18634</v>
      </c>
      <c r="E20" s="35">
        <f t="shared" si="0"/>
        <v>15747.333333333334</v>
      </c>
      <c r="F20" s="36">
        <f>E20-E13</f>
        <v>15739.833333333334</v>
      </c>
      <c r="G20" s="35">
        <f>F20/(Parameters!$B$9*Parameters!$B$20)</f>
        <v>24215.128205128207</v>
      </c>
      <c r="H20" s="37">
        <f>G20/(37000*60*Parameters!$B$26/1000)</f>
        <v>0.36359051359051364</v>
      </c>
      <c r="I20" s="37">
        <f>H20/EXP(-0.693*Parameters!$D$24/(Parameters!$B$8*24))</f>
        <v>0.3636371727010756</v>
      </c>
      <c r="J20" s="37">
        <f t="shared" si="1"/>
        <v>13.454575389939796</v>
      </c>
      <c r="O20" s="2"/>
      <c r="P20" s="9"/>
      <c r="Q20" s="2"/>
      <c r="R20" s="1"/>
    </row>
    <row r="21" spans="1:18" ht="12.75">
      <c r="A21" s="20">
        <v>9</v>
      </c>
      <c r="B21" s="66">
        <v>13740</v>
      </c>
      <c r="C21" s="66">
        <v>22140</v>
      </c>
      <c r="D21" s="66">
        <v>15116</v>
      </c>
      <c r="E21" s="35">
        <f t="shared" si="0"/>
        <v>16998.666666666668</v>
      </c>
      <c r="F21" s="36">
        <f>E21-E13</f>
        <v>16991.166666666668</v>
      </c>
      <c r="G21" s="35">
        <f>F21/(Parameters!$B$9*Parameters!$B$20)</f>
        <v>26140.25641025641</v>
      </c>
      <c r="H21" s="37">
        <f>G21/(37000*60*Parameters!$B$26/1000)</f>
        <v>0.3924963424963425</v>
      </c>
      <c r="I21" s="37">
        <f>H21/EXP(-0.693*Parameters!$D$24/(Parameters!$B$8*24))</f>
        <v>0.3925467110553537</v>
      </c>
      <c r="J21" s="37">
        <f t="shared" si="1"/>
        <v>14.524228309048087</v>
      </c>
      <c r="O21" s="2"/>
      <c r="P21" s="9"/>
      <c r="Q21" s="2"/>
      <c r="R21" s="1"/>
    </row>
    <row r="22" spans="1:18" ht="12.75">
      <c r="A22" s="20">
        <v>10</v>
      </c>
      <c r="B22" s="66">
        <v>29840</v>
      </c>
      <c r="C22" s="66">
        <v>28774</v>
      </c>
      <c r="D22" s="66">
        <v>26190</v>
      </c>
      <c r="E22" s="35">
        <f t="shared" si="0"/>
        <v>28268</v>
      </c>
      <c r="F22" s="36">
        <f>E22-E13</f>
        <v>28260.5</v>
      </c>
      <c r="G22" s="35">
        <f>F22/(Parameters!$B$9*Parameters!$B$20)</f>
        <v>43477.692307692305</v>
      </c>
      <c r="H22" s="37">
        <f>G22/(37000*60*Parameters!$B$26/1000)</f>
        <v>0.6528182028182028</v>
      </c>
      <c r="I22" s="37">
        <f>H22/EXP(-0.693*Parameters!$D$24/(Parameters!$B$8*24))</f>
        <v>0.6529019781521667</v>
      </c>
      <c r="J22" s="37">
        <f t="shared" si="1"/>
        <v>24.157373191630167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ML - Nov.10, 2000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36840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12</v>
      </c>
      <c r="C13" s="28">
        <v>12</v>
      </c>
      <c r="D13" s="28">
        <v>10</v>
      </c>
      <c r="E13" s="34">
        <f>AVERAGE(B13:D14)</f>
        <v>10.166666666666666</v>
      </c>
      <c r="F13" s="34">
        <v>0</v>
      </c>
      <c r="G13" s="40">
        <v>0</v>
      </c>
      <c r="H13" s="41">
        <v>0</v>
      </c>
      <c r="I13" s="40">
        <v>0</v>
      </c>
      <c r="J13" s="59">
        <f>I13*37</f>
        <v>0</v>
      </c>
    </row>
    <row r="14" spans="1:10" ht="12.75">
      <c r="A14" s="33">
        <v>2</v>
      </c>
      <c r="B14" s="28">
        <v>6</v>
      </c>
      <c r="C14" s="28">
        <v>12</v>
      </c>
      <c r="D14" s="28">
        <v>9</v>
      </c>
      <c r="E14" s="34"/>
      <c r="F14" s="34">
        <v>0</v>
      </c>
      <c r="G14" s="40">
        <v>0</v>
      </c>
      <c r="H14" s="41">
        <v>0</v>
      </c>
      <c r="I14" s="40">
        <v>0</v>
      </c>
      <c r="J14" s="59">
        <f aca="true" t="shared" si="0" ref="J14:J22">I14*37</f>
        <v>0</v>
      </c>
    </row>
    <row r="15" spans="1:10" ht="12.75">
      <c r="A15" s="20">
        <v>3</v>
      </c>
      <c r="B15" s="66">
        <v>1479</v>
      </c>
      <c r="C15" s="66">
        <v>1479</v>
      </c>
      <c r="D15" s="66">
        <v>1503</v>
      </c>
      <c r="E15" s="35">
        <f aca="true" t="shared" si="1" ref="E15:E22">AVERAGE(B15:D15)</f>
        <v>1487</v>
      </c>
      <c r="F15" s="35">
        <f>E15-$E$13</f>
        <v>1476.8333333333333</v>
      </c>
      <c r="G15" s="35">
        <f>F15/(Parameters!$B$9*Parameters!$B$20)</f>
        <v>2272.0512820512818</v>
      </c>
      <c r="H15" s="42">
        <f>G15/(37000*60*Parameters!$B$27/1000)</f>
        <v>0.010234465234465234</v>
      </c>
      <c r="I15" s="42">
        <f>H15/EXP(-0.693*(Parameters!$D$25)/(Parameters!$B$8*24))</f>
        <v>0.010240935240370171</v>
      </c>
      <c r="J15" s="37">
        <f t="shared" si="0"/>
        <v>0.37891460389369636</v>
      </c>
    </row>
    <row r="16" spans="1:10" ht="12.75">
      <c r="A16" s="20">
        <v>4</v>
      </c>
      <c r="B16" s="66">
        <v>1918</v>
      </c>
      <c r="C16" s="66">
        <v>1933</v>
      </c>
      <c r="D16" s="66">
        <v>1820</v>
      </c>
      <c r="E16" s="35">
        <f t="shared" si="1"/>
        <v>1890.3333333333333</v>
      </c>
      <c r="F16" s="35">
        <f aca="true" t="shared" si="2" ref="F16:F22">E16-$E$13</f>
        <v>1880.1666666666665</v>
      </c>
      <c r="G16" s="35">
        <f>F16/(Parameters!$B$9*Parameters!$B$20)</f>
        <v>2892.564102564102</v>
      </c>
      <c r="H16" s="42">
        <f>G16/(37000*60*Parameters!$B$27/1000)</f>
        <v>0.013029568029568027</v>
      </c>
      <c r="I16" s="42">
        <f>H16/EXP(-0.693*(Parameters!$D$25)/(Parameters!$B$8*24))</f>
        <v>0.013037805038552747</v>
      </c>
      <c r="J16" s="37">
        <f t="shared" si="0"/>
        <v>0.4823987864264517</v>
      </c>
    </row>
    <row r="17" spans="1:10" ht="12.75">
      <c r="A17" s="20">
        <v>5</v>
      </c>
      <c r="B17" s="66">
        <v>2936</v>
      </c>
      <c r="C17" s="66">
        <v>2961</v>
      </c>
      <c r="D17" s="66">
        <v>3148</v>
      </c>
      <c r="E17" s="35">
        <f t="shared" si="1"/>
        <v>3015</v>
      </c>
      <c r="F17" s="35">
        <f t="shared" si="2"/>
        <v>3004.8333333333335</v>
      </c>
      <c r="G17" s="35">
        <f>F17/(Parameters!$B$9*Parameters!$B$20)</f>
        <v>4622.820512820513</v>
      </c>
      <c r="H17" s="42">
        <f>G17/(37000*60*Parameters!$B$27/1000)</f>
        <v>0.020823515823515822</v>
      </c>
      <c r="I17" s="42">
        <f>H17/EXP(-0.693*(Parameters!$D$25)/(Parameters!$B$8*24))</f>
        <v>0.0208366799964602</v>
      </c>
      <c r="J17" s="37">
        <f t="shared" si="0"/>
        <v>0.7709571598690274</v>
      </c>
    </row>
    <row r="18" spans="1:10" ht="12.75">
      <c r="A18" s="20">
        <v>6</v>
      </c>
      <c r="B18" s="66">
        <v>3530</v>
      </c>
      <c r="C18" s="66">
        <v>3250</v>
      </c>
      <c r="D18" s="66">
        <v>3152</v>
      </c>
      <c r="E18" s="35">
        <f t="shared" si="1"/>
        <v>3310.6666666666665</v>
      </c>
      <c r="F18" s="35">
        <f t="shared" si="2"/>
        <v>3300.5</v>
      </c>
      <c r="G18" s="35">
        <f>F18/(Parameters!$B$9*Parameters!$B$20)</f>
        <v>5077.692307692308</v>
      </c>
      <c r="H18" s="42">
        <f>G18/(37000*60*Parameters!$B$27/1000)</f>
        <v>0.02287248787248787</v>
      </c>
      <c r="I18" s="42">
        <f>H18/EXP(-0.693*(Parameters!$D$25)/(Parameters!$B$8*24))</f>
        <v>0.022886947360913047</v>
      </c>
      <c r="J18" s="37">
        <f t="shared" si="0"/>
        <v>0.8468170523537828</v>
      </c>
    </row>
    <row r="19" spans="1:10" ht="12.75">
      <c r="A19" s="20">
        <v>7</v>
      </c>
      <c r="B19" s="66">
        <v>3597</v>
      </c>
      <c r="C19" s="66">
        <v>3337</v>
      </c>
      <c r="D19" s="66">
        <v>3181</v>
      </c>
      <c r="E19" s="35">
        <f t="shared" si="1"/>
        <v>3371.6666666666665</v>
      </c>
      <c r="F19" s="35">
        <f t="shared" si="2"/>
        <v>3361.5</v>
      </c>
      <c r="G19" s="35">
        <f>F19/(Parameters!$B$9*Parameters!$B$20)</f>
        <v>5171.538461538461</v>
      </c>
      <c r="H19" s="42">
        <f>G19/(37000*60*Parameters!$B$27/1000)</f>
        <v>0.023295218295218294</v>
      </c>
      <c r="I19" s="42">
        <f>H19/EXP(-0.693*(Parameters!$D$25)/(Parameters!$B$8*24))</f>
        <v>0.023309945024605122</v>
      </c>
      <c r="J19" s="37">
        <f t="shared" si="0"/>
        <v>0.8624679659103895</v>
      </c>
    </row>
    <row r="20" spans="1:10" ht="12.75">
      <c r="A20" s="20">
        <v>8</v>
      </c>
      <c r="B20" s="66">
        <v>4897</v>
      </c>
      <c r="C20" s="66">
        <v>5220</v>
      </c>
      <c r="D20" s="66">
        <v>4638</v>
      </c>
      <c r="E20" s="35">
        <f t="shared" si="1"/>
        <v>4918.333333333333</v>
      </c>
      <c r="F20" s="35">
        <f t="shared" si="2"/>
        <v>4908.166666666666</v>
      </c>
      <c r="G20" s="35">
        <f>F20/(Parameters!$B$9*Parameters!$B$20)</f>
        <v>7551.02564102564</v>
      </c>
      <c r="H20" s="42">
        <f>G20/(37000*60*Parameters!$B$27/1000)</f>
        <v>0.03401362901362901</v>
      </c>
      <c r="I20" s="42">
        <f>H20/EXP(-0.693*(Parameters!$D$25)/(Parameters!$B$8*24))</f>
        <v>0.03403513168871021</v>
      </c>
      <c r="J20" s="37">
        <f t="shared" si="0"/>
        <v>1.2592998724822777</v>
      </c>
    </row>
    <row r="21" spans="1:10" ht="12.75">
      <c r="A21" s="20">
        <v>9</v>
      </c>
      <c r="B21" s="66">
        <v>4187</v>
      </c>
      <c r="C21" s="66">
        <v>3778</v>
      </c>
      <c r="D21" s="66">
        <v>3644</v>
      </c>
      <c r="E21" s="35">
        <f t="shared" si="1"/>
        <v>3869.6666666666665</v>
      </c>
      <c r="F21" s="35">
        <f t="shared" si="2"/>
        <v>3859.5</v>
      </c>
      <c r="G21" s="35">
        <f>F21/(Parameters!$B$9*Parameters!$B$20)</f>
        <v>5937.692307692308</v>
      </c>
      <c r="H21" s="42">
        <f>G21/(37000*60*Parameters!$B$27/1000)</f>
        <v>0.026746361746361746</v>
      </c>
      <c r="I21" s="42">
        <f>H21/EXP(-0.693*(Parameters!$D$25)/(Parameters!$B$8*24))</f>
        <v>0.02676327021343551</v>
      </c>
      <c r="J21" s="37">
        <f t="shared" si="0"/>
        <v>0.990240997897114</v>
      </c>
    </row>
    <row r="22" spans="1:10" ht="12.75">
      <c r="A22" s="20">
        <v>10</v>
      </c>
      <c r="B22" s="66">
        <v>5730</v>
      </c>
      <c r="C22" s="66">
        <v>5862</v>
      </c>
      <c r="D22" s="66">
        <v>5565</v>
      </c>
      <c r="E22" s="35">
        <f t="shared" si="1"/>
        <v>5719</v>
      </c>
      <c r="F22" s="35">
        <f t="shared" si="2"/>
        <v>5708.833333333333</v>
      </c>
      <c r="G22" s="35">
        <f>F22/(Parameters!$B$9*Parameters!$B$20)</f>
        <v>8782.820512820512</v>
      </c>
      <c r="H22" s="42">
        <f>G22/(37000*60*Parameters!$B$27/1000)</f>
        <v>0.03956225456225456</v>
      </c>
      <c r="I22" s="42">
        <f>H22/EXP(-0.693*(Parameters!$D$25)/(Parameters!$B$8*24))</f>
        <v>0.0395872649574991</v>
      </c>
      <c r="J22" s="37">
        <f t="shared" si="0"/>
        <v>1.4647288034274666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2">
      <selection activeCell="B20" sqref="B20"/>
    </sheetView>
  </sheetViews>
  <sheetFormatPr defaultColWidth="9.140625" defaultRowHeight="12.75"/>
  <cols>
    <col min="1" max="1" width="6.57421875" style="63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3" t="s">
        <v>45</v>
      </c>
      <c r="B3" s="20"/>
      <c r="C3" s="20" t="str">
        <f>Parameters!$B$3</f>
        <v>ML - Nov.10, 2000</v>
      </c>
      <c r="D3" s="20"/>
      <c r="E3" s="20"/>
      <c r="F3" s="20"/>
    </row>
    <row r="4" spans="1:6" ht="12.75">
      <c r="A4" s="63" t="s">
        <v>12</v>
      </c>
      <c r="B4" s="20"/>
      <c r="C4" s="43">
        <f>Parameters!$B$1</f>
        <v>36840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3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4">
        <v>1</v>
      </c>
      <c r="B13" s="28"/>
      <c r="C13" s="28"/>
      <c r="D13" s="28"/>
      <c r="E13" s="34">
        <f>IF(Parameters!$B$33="Yes",AVERAGE(G13:J13),AVERAGE(B13:D13))</f>
        <v>200</v>
      </c>
      <c r="F13" s="34">
        <f>IF(Parameters!$B$33="Yes",E13*10000,(E13-Parameters!$B$31)*Parameters!$B$32*(100/Parameters!$B$29)*(500/Parameters!$B$30))</f>
        <v>2000000</v>
      </c>
      <c r="G13" s="26">
        <v>200</v>
      </c>
      <c r="H13" s="26">
        <v>200</v>
      </c>
      <c r="I13" s="26">
        <v>200</v>
      </c>
      <c r="J13" s="26">
        <v>200</v>
      </c>
    </row>
    <row r="14" spans="1:10" ht="12.75">
      <c r="A14" s="64">
        <v>2</v>
      </c>
      <c r="B14" s="28"/>
      <c r="C14" s="28"/>
      <c r="D14" s="28"/>
      <c r="E14" s="34">
        <f>IF(Parameters!$B$33="Yes",AVERAGE(G14:J14),AVERAGE(B14:D14))</f>
        <v>200</v>
      </c>
      <c r="F14" s="34">
        <f>IF(Parameters!$B$33="Yes",E14*10000,(E14-Parameters!$B$31)*Parameters!$B$32*(100/Parameters!$B$29)*(500/Parameters!$B$30))</f>
        <v>2000000</v>
      </c>
      <c r="G14" s="26">
        <v>200</v>
      </c>
      <c r="H14" s="26">
        <v>200</v>
      </c>
      <c r="I14" s="26">
        <v>200</v>
      </c>
      <c r="J14" s="26">
        <v>200</v>
      </c>
    </row>
    <row r="15" spans="1:10" ht="12.75">
      <c r="A15" s="63">
        <v>3</v>
      </c>
      <c r="B15" s="29"/>
      <c r="C15" s="29"/>
      <c r="D15" s="29"/>
      <c r="E15" s="35">
        <f>IF(Parameters!$B$33="Yes",AVERAGE(G15:J15),AVERAGE(B15:D15))</f>
        <v>200</v>
      </c>
      <c r="F15" s="35">
        <f>IF(Parameters!$B$33="Yes",E15*10000,(E15-Parameters!$B$31)*Parameters!$B$32*(100/Parameters!$B$29)*(500/Parameters!$B$30))</f>
        <v>2000000</v>
      </c>
      <c r="G15" s="26">
        <v>200</v>
      </c>
      <c r="H15" s="26">
        <v>200</v>
      </c>
      <c r="I15" s="26">
        <v>200</v>
      </c>
      <c r="J15" s="26">
        <v>200</v>
      </c>
    </row>
    <row r="16" spans="1:10" ht="12.75">
      <c r="A16" s="63">
        <v>4</v>
      </c>
      <c r="B16" s="29"/>
      <c r="C16" s="29"/>
      <c r="D16" s="29"/>
      <c r="E16" s="35">
        <f>IF(Parameters!$B$33="Yes",AVERAGE(G16:J16),AVERAGE(B16:D16))</f>
        <v>200</v>
      </c>
      <c r="F16" s="35">
        <f>IF(Parameters!$B$33="Yes",E16*10000,(E16-Parameters!$B$31)*Parameters!$B$32*(100/Parameters!$B$29)*(500/Parameters!$B$30))</f>
        <v>2000000</v>
      </c>
      <c r="G16" s="26">
        <v>200</v>
      </c>
      <c r="H16" s="26">
        <v>200</v>
      </c>
      <c r="I16" s="26">
        <v>200</v>
      </c>
      <c r="J16" s="26">
        <v>200</v>
      </c>
    </row>
    <row r="17" spans="1:10" ht="12.75">
      <c r="A17" s="63">
        <v>5</v>
      </c>
      <c r="B17" s="29"/>
      <c r="C17" s="29"/>
      <c r="D17" s="29"/>
      <c r="E17" s="35">
        <f>IF(Parameters!$B$33="Yes",AVERAGE(G17:J17),AVERAGE(B17:D17))</f>
        <v>200</v>
      </c>
      <c r="F17" s="35">
        <f>IF(Parameters!$B$33="Yes",E17*10000,(E17-Parameters!$B$31)*Parameters!$B$32*(100/Parameters!$B$29)*(500/Parameters!$B$30))</f>
        <v>2000000</v>
      </c>
      <c r="G17" s="26">
        <v>200</v>
      </c>
      <c r="H17" s="26">
        <v>200</v>
      </c>
      <c r="I17" s="26">
        <v>200</v>
      </c>
      <c r="J17" s="26">
        <v>200</v>
      </c>
    </row>
    <row r="18" spans="1:10" ht="12.75">
      <c r="A18" s="63">
        <v>6</v>
      </c>
      <c r="B18" s="29"/>
      <c r="C18" s="29"/>
      <c r="D18" s="29"/>
      <c r="E18" s="35">
        <f>IF(Parameters!$B$33="Yes",AVERAGE(G18:J18),AVERAGE(B18:D18))</f>
        <v>200</v>
      </c>
      <c r="F18" s="35">
        <f>IF(Parameters!$B$33="Yes",E18*10000,(E18-Parameters!$B$31)*Parameters!$B$32*(100/Parameters!$B$29)*(500/Parameters!$B$30))</f>
        <v>2000000</v>
      </c>
      <c r="G18" s="26">
        <v>200</v>
      </c>
      <c r="H18" s="26">
        <v>200</v>
      </c>
      <c r="I18" s="26">
        <v>200</v>
      </c>
      <c r="J18" s="26">
        <v>200</v>
      </c>
    </row>
    <row r="19" spans="1:10" ht="12.75">
      <c r="A19" s="63">
        <v>7</v>
      </c>
      <c r="B19" s="29"/>
      <c r="C19" s="29"/>
      <c r="D19" s="29"/>
      <c r="E19" s="35">
        <f>IF(Parameters!$B$33="Yes",AVERAGE(G19:J19),AVERAGE(B19:D19))</f>
        <v>200</v>
      </c>
      <c r="F19" s="35">
        <f>IF(Parameters!$B$33="Yes",E19*10000,(E19-Parameters!$B$31)*Parameters!$B$32*(100/Parameters!$B$29)*(500/Parameters!$B$30))</f>
        <v>2000000</v>
      </c>
      <c r="G19" s="26">
        <v>200</v>
      </c>
      <c r="H19" s="26">
        <v>200</v>
      </c>
      <c r="I19" s="26">
        <v>200</v>
      </c>
      <c r="J19" s="26">
        <v>200</v>
      </c>
    </row>
    <row r="20" spans="1:10" ht="12.75">
      <c r="A20" s="63">
        <v>8</v>
      </c>
      <c r="B20" s="29"/>
      <c r="C20" s="29"/>
      <c r="D20" s="29"/>
      <c r="E20" s="35">
        <f>IF(Parameters!$B$33="Yes",AVERAGE(G20:J20),AVERAGE(B20:D20))</f>
        <v>200</v>
      </c>
      <c r="F20" s="35">
        <f>IF(Parameters!$B$33="Yes",E20*10000,(E20-Parameters!$B$31)*Parameters!$B$32*(100/Parameters!$B$29)*(500/Parameters!$B$30))</f>
        <v>2000000</v>
      </c>
      <c r="G20" s="26">
        <v>200</v>
      </c>
      <c r="H20" s="26">
        <v>200</v>
      </c>
      <c r="I20" s="26">
        <v>200</v>
      </c>
      <c r="J20" s="26">
        <v>200</v>
      </c>
    </row>
    <row r="21" spans="1:10" ht="12.75">
      <c r="A21" s="63">
        <v>9</v>
      </c>
      <c r="B21" s="29"/>
      <c r="C21" s="29"/>
      <c r="D21" s="29"/>
      <c r="E21" s="35">
        <f>IF(Parameters!$B$33="Yes",AVERAGE(G21:J21),AVERAGE(B21:D21))</f>
        <v>200</v>
      </c>
      <c r="F21" s="35">
        <f>IF(Parameters!$B$33="Yes",E21*10000,(E21-Parameters!$B$31)*Parameters!$B$32*(100/Parameters!$B$29)*(500/Parameters!$B$30))</f>
        <v>2000000</v>
      </c>
      <c r="G21" s="26">
        <v>200</v>
      </c>
      <c r="H21" s="26">
        <v>200</v>
      </c>
      <c r="I21" s="26">
        <v>200</v>
      </c>
      <c r="J21" s="26">
        <v>200</v>
      </c>
    </row>
    <row r="22" spans="1:10" ht="12.75">
      <c r="A22" s="63">
        <v>10</v>
      </c>
      <c r="B22" s="29"/>
      <c r="C22" s="29"/>
      <c r="D22" s="29"/>
      <c r="E22" s="35">
        <f>IF(Parameters!$B$33="Yes",AVERAGE(G22:J22),AVERAGE(B22:D22))</f>
        <v>200</v>
      </c>
      <c r="F22" s="35">
        <f>IF(Parameters!$B$33="Yes",E22*10000,(E22-Parameters!$B$31)*Parameters!$B$32*(100/Parameters!$B$29)*(500/Parameters!$B$30))</f>
        <v>2000000</v>
      </c>
      <c r="G22" s="26">
        <v>200</v>
      </c>
      <c r="H22" s="26">
        <v>200</v>
      </c>
      <c r="I22" s="26">
        <v>200</v>
      </c>
      <c r="J22" s="26">
        <v>200</v>
      </c>
    </row>
    <row r="29" spans="1:10" ht="12.75">
      <c r="A29" s="63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4">
        <v>1</v>
      </c>
      <c r="B35" s="26">
        <v>200</v>
      </c>
      <c r="C35" s="34">
        <f>F13/(10000*200/B35)</f>
        <v>200</v>
      </c>
      <c r="D35" s="28">
        <v>41</v>
      </c>
      <c r="E35" s="28">
        <v>38</v>
      </c>
      <c r="F35" s="28">
        <v>33</v>
      </c>
      <c r="G35" s="34">
        <f>AVERAGE(D35:F36)</f>
        <v>50.666666666666664</v>
      </c>
      <c r="H35" s="44">
        <f>G35/C35*100</f>
        <v>25.33333333333333</v>
      </c>
      <c r="I35" s="60">
        <f>G35*200/B35/$G$35</f>
        <v>0.9999999999999999</v>
      </c>
      <c r="J35" s="59">
        <f>(G35/AVERAGE(C35:C36))/($G$35/AVERAGE($C$35,$C$36))</f>
        <v>1</v>
      </c>
    </row>
    <row r="36" spans="1:10" ht="12.75">
      <c r="A36" s="64">
        <v>2</v>
      </c>
      <c r="B36" s="26">
        <v>200</v>
      </c>
      <c r="C36" s="34">
        <f aca="true" t="shared" si="0" ref="C36:C44">F14/(10000*200/B36)</f>
        <v>200</v>
      </c>
      <c r="D36" s="28">
        <v>57</v>
      </c>
      <c r="E36" s="28">
        <v>61</v>
      </c>
      <c r="F36" s="28">
        <v>74</v>
      </c>
      <c r="G36" s="34"/>
      <c r="H36" s="44"/>
      <c r="I36" s="45"/>
      <c r="J36" s="37"/>
    </row>
    <row r="37" spans="1:10" ht="12.75">
      <c r="A37" s="63">
        <v>3</v>
      </c>
      <c r="B37" s="26">
        <v>200</v>
      </c>
      <c r="C37" s="35">
        <f t="shared" si="0"/>
        <v>200</v>
      </c>
      <c r="D37" s="66">
        <v>32</v>
      </c>
      <c r="E37" s="66">
        <v>25</v>
      </c>
      <c r="F37" s="66">
        <v>22</v>
      </c>
      <c r="G37" s="35">
        <f aca="true" t="shared" si="1" ref="G37:G44">AVERAGE(D37:F37)</f>
        <v>26.333333333333332</v>
      </c>
      <c r="H37" s="46">
        <f aca="true" t="shared" si="2" ref="H37:H44">G37/C37*100</f>
        <v>13.166666666666666</v>
      </c>
      <c r="I37" s="37">
        <f aca="true" t="shared" si="3" ref="I37:I44">G37*200/B37/$G$35</f>
        <v>0.519736842105263</v>
      </c>
      <c r="J37" s="37">
        <f>(G37/C37)/($G$35/AVERAGE($C$35,$C$36))</f>
        <v>0.5197368421052632</v>
      </c>
    </row>
    <row r="38" spans="1:10" ht="12.75">
      <c r="A38" s="63">
        <v>4</v>
      </c>
      <c r="B38" s="26">
        <v>200</v>
      </c>
      <c r="C38" s="35">
        <f t="shared" si="0"/>
        <v>200</v>
      </c>
      <c r="D38" s="66">
        <v>32</v>
      </c>
      <c r="E38" s="66">
        <v>20</v>
      </c>
      <c r="F38" s="66">
        <v>25</v>
      </c>
      <c r="G38" s="35">
        <f t="shared" si="1"/>
        <v>25.666666666666668</v>
      </c>
      <c r="H38" s="46">
        <f t="shared" si="2"/>
        <v>12.833333333333332</v>
      </c>
      <c r="I38" s="37">
        <f t="shared" si="3"/>
        <v>0.5065789473684211</v>
      </c>
      <c r="J38" s="37">
        <f aca="true" t="shared" si="4" ref="J38:J44">(G38/C38)/($G$35/AVERAGE($C$35,$C$36))</f>
        <v>0.5065789473684211</v>
      </c>
    </row>
    <row r="39" spans="1:10" ht="12.75">
      <c r="A39" s="63">
        <v>5</v>
      </c>
      <c r="B39" s="26">
        <v>200</v>
      </c>
      <c r="C39" s="35">
        <f t="shared" si="0"/>
        <v>200</v>
      </c>
      <c r="D39" s="66">
        <v>22</v>
      </c>
      <c r="E39" s="66">
        <v>16</v>
      </c>
      <c r="F39" s="66">
        <v>15</v>
      </c>
      <c r="G39" s="35">
        <f t="shared" si="1"/>
        <v>17.666666666666668</v>
      </c>
      <c r="H39" s="46">
        <f t="shared" si="2"/>
        <v>8.833333333333334</v>
      </c>
      <c r="I39" s="37">
        <f t="shared" si="3"/>
        <v>0.3486842105263158</v>
      </c>
      <c r="J39" s="37">
        <f t="shared" si="4"/>
        <v>0.3486842105263158</v>
      </c>
    </row>
    <row r="40" spans="1:10" ht="12.75">
      <c r="A40" s="63">
        <v>6</v>
      </c>
      <c r="B40" s="26">
        <v>200</v>
      </c>
      <c r="C40" s="35">
        <f t="shared" si="0"/>
        <v>200</v>
      </c>
      <c r="D40" s="66">
        <v>31</v>
      </c>
      <c r="E40" s="66">
        <v>22</v>
      </c>
      <c r="F40" s="66">
        <v>28</v>
      </c>
      <c r="G40" s="35">
        <f t="shared" si="1"/>
        <v>27</v>
      </c>
      <c r="H40" s="46">
        <f t="shared" si="2"/>
        <v>13.5</v>
      </c>
      <c r="I40" s="37">
        <f t="shared" si="3"/>
        <v>0.5328947368421053</v>
      </c>
      <c r="J40" s="37">
        <f t="shared" si="4"/>
        <v>0.5328947368421054</v>
      </c>
    </row>
    <row r="41" spans="1:10" ht="12.75">
      <c r="A41" s="63">
        <v>7</v>
      </c>
      <c r="B41" s="26">
        <v>200</v>
      </c>
      <c r="C41" s="35">
        <f t="shared" si="0"/>
        <v>200</v>
      </c>
      <c r="D41" s="66">
        <v>21</v>
      </c>
      <c r="E41" s="66">
        <v>23</v>
      </c>
      <c r="F41" s="66">
        <v>12</v>
      </c>
      <c r="G41" s="35">
        <f t="shared" si="1"/>
        <v>18.666666666666668</v>
      </c>
      <c r="H41" s="46">
        <f t="shared" si="2"/>
        <v>9.333333333333334</v>
      </c>
      <c r="I41" s="37">
        <f t="shared" si="3"/>
        <v>0.368421052631579</v>
      </c>
      <c r="J41" s="37">
        <f t="shared" si="4"/>
        <v>0.36842105263157904</v>
      </c>
    </row>
    <row r="42" spans="1:10" ht="12.75">
      <c r="A42" s="63">
        <v>8</v>
      </c>
      <c r="B42" s="26">
        <v>200</v>
      </c>
      <c r="C42" s="35">
        <f t="shared" si="0"/>
        <v>200</v>
      </c>
      <c r="D42" s="66">
        <v>30</v>
      </c>
      <c r="E42" s="66">
        <v>26</v>
      </c>
      <c r="F42" s="66">
        <v>30</v>
      </c>
      <c r="G42" s="35">
        <f t="shared" si="1"/>
        <v>28.666666666666668</v>
      </c>
      <c r="H42" s="46">
        <f t="shared" si="2"/>
        <v>14.333333333333334</v>
      </c>
      <c r="I42" s="37">
        <f t="shared" si="3"/>
        <v>0.5657894736842106</v>
      </c>
      <c r="J42" s="37">
        <f t="shared" si="4"/>
        <v>0.5657894736842106</v>
      </c>
    </row>
    <row r="43" spans="1:10" ht="12.75">
      <c r="A43" s="63">
        <v>9</v>
      </c>
      <c r="B43" s="26">
        <v>200</v>
      </c>
      <c r="C43" s="35">
        <f t="shared" si="0"/>
        <v>200</v>
      </c>
      <c r="D43" s="66">
        <v>118</v>
      </c>
      <c r="E43" s="66">
        <v>139</v>
      </c>
      <c r="F43" s="66">
        <v>120</v>
      </c>
      <c r="G43" s="35">
        <f t="shared" si="1"/>
        <v>125.66666666666667</v>
      </c>
      <c r="H43" s="46">
        <f t="shared" si="2"/>
        <v>62.83333333333334</v>
      </c>
      <c r="I43" s="37">
        <f t="shared" si="3"/>
        <v>2.480263157894737</v>
      </c>
      <c r="J43" s="37">
        <f t="shared" si="4"/>
        <v>2.4802631578947376</v>
      </c>
    </row>
    <row r="44" spans="1:10" ht="12.75">
      <c r="A44" s="63">
        <v>10</v>
      </c>
      <c r="B44" s="26">
        <v>200</v>
      </c>
      <c r="C44" s="35">
        <f t="shared" si="0"/>
        <v>200</v>
      </c>
      <c r="D44" s="66">
        <v>294</v>
      </c>
      <c r="E44" s="66">
        <v>261</v>
      </c>
      <c r="F44" s="66">
        <v>215</v>
      </c>
      <c r="G44" s="35">
        <f t="shared" si="1"/>
        <v>256.6666666666667</v>
      </c>
      <c r="H44" s="46">
        <f t="shared" si="2"/>
        <v>128.33333333333334</v>
      </c>
      <c r="I44" s="37">
        <f t="shared" si="3"/>
        <v>5.0657894736842115</v>
      </c>
      <c r="J44" s="37">
        <f t="shared" si="4"/>
        <v>5.0657894736842115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C7">
      <selection activeCell="F8" sqref="F8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36840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0.9999999999999999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2.963485664673892</v>
      </c>
      <c r="C15" s="46">
        <f>CellSuspension!J15/(CoulterSurvival!F15*Parameters!$B$14)*1000000</f>
        <v>0.18945730194684818</v>
      </c>
      <c r="D15" s="37">
        <f>CoulterSurvival!I37</f>
        <v>0.519736842105263</v>
      </c>
      <c r="E15" s="37">
        <f>CoulterSurvival!J37</f>
        <v>0.5197368421052632</v>
      </c>
    </row>
    <row r="16" spans="1:5" ht="12.75">
      <c r="A16" s="20">
        <v>4</v>
      </c>
      <c r="B16" s="46">
        <f>MediumActivity!J16</f>
        <v>3.6917842425217327</v>
      </c>
      <c r="C16" s="46">
        <f>CellSuspension!J16/(CoulterSurvival!F16*Parameters!$B$14)*1000000</f>
        <v>0.2411993932132258</v>
      </c>
      <c r="D16" s="37">
        <f>CoulterSurvival!I38</f>
        <v>0.5065789473684211</v>
      </c>
      <c r="E16" s="37">
        <f>CoulterSurvival!J38</f>
        <v>0.5065789473684211</v>
      </c>
    </row>
    <row r="17" spans="1:5" ht="12.75">
      <c r="A17" s="20">
        <v>5</v>
      </c>
      <c r="B17" s="46">
        <f>MediumActivity!J17</f>
        <v>6.1277093372092075</v>
      </c>
      <c r="C17" s="46">
        <f>CellSuspension!J17/(CoulterSurvival!F17*Parameters!$B$14)*1000000</f>
        <v>0.3854785799345137</v>
      </c>
      <c r="D17" s="37">
        <f>CoulterSurvival!I39</f>
        <v>0.3486842105263158</v>
      </c>
      <c r="E17" s="37">
        <f>CoulterSurvival!J39</f>
        <v>0.3486842105263158</v>
      </c>
    </row>
    <row r="18" spans="1:5" ht="12.75">
      <c r="A18" s="20">
        <v>6</v>
      </c>
      <c r="B18" s="46">
        <f>MediumActivity!J18</f>
        <v>9.517887928458666</v>
      </c>
      <c r="C18" s="46">
        <f>CellSuspension!J18/(CoulterSurvival!F18*Parameters!$B$14)*1000000</f>
        <v>0.4234085261768914</v>
      </c>
      <c r="D18" s="37">
        <f>CoulterSurvival!I40</f>
        <v>0.5328947368421053</v>
      </c>
      <c r="E18" s="37">
        <f>CoulterSurvival!J40</f>
        <v>0.5328947368421054</v>
      </c>
    </row>
    <row r="19" spans="1:5" ht="12.75">
      <c r="A19" s="20">
        <v>7</v>
      </c>
      <c r="B19" s="46">
        <f>MediumActivity!J19</f>
        <v>10.155576589344216</v>
      </c>
      <c r="C19" s="46">
        <f>CellSuspension!J19/(CoulterSurvival!F19*Parameters!$B$14)*1000000</f>
        <v>0.4312339829551948</v>
      </c>
      <c r="D19" s="37">
        <f>CoulterSurvival!I41</f>
        <v>0.368421052631579</v>
      </c>
      <c r="E19" s="37">
        <f>CoulterSurvival!J41</f>
        <v>0.36842105263157904</v>
      </c>
    </row>
    <row r="20" spans="1:5" ht="12.75">
      <c r="A20" s="20">
        <v>8</v>
      </c>
      <c r="B20" s="46">
        <f>MediumActivity!J20</f>
        <v>13.454575389939796</v>
      </c>
      <c r="C20" s="46">
        <f>CellSuspension!J20/(CoulterSurvival!F20*Parameters!$B$14)*1000000</f>
        <v>0.6296499362411389</v>
      </c>
      <c r="D20" s="37">
        <f>CoulterSurvival!I42</f>
        <v>0.5657894736842106</v>
      </c>
      <c r="E20" s="37">
        <f>CoulterSurvival!J42</f>
        <v>0.5657894736842106</v>
      </c>
    </row>
    <row r="21" spans="1:5" ht="12.75">
      <c r="A21" s="20">
        <v>9</v>
      </c>
      <c r="B21" s="46">
        <f>MediumActivity!J21</f>
        <v>14.524228309048087</v>
      </c>
      <c r="C21" s="46">
        <f>CellSuspension!J21/(CoulterSurvival!F21*Parameters!$B$14)*1000000</f>
        <v>0.495120498948557</v>
      </c>
      <c r="D21" s="37">
        <f>CoulterSurvival!I43</f>
        <v>2.480263157894737</v>
      </c>
      <c r="E21" s="37">
        <f>CoulterSurvival!J43</f>
        <v>2.4802631578947376</v>
      </c>
    </row>
    <row r="22" spans="1:5" ht="12.75">
      <c r="A22" s="20">
        <v>10</v>
      </c>
      <c r="B22" s="46">
        <f>MediumActivity!J22</f>
        <v>24.157373191630167</v>
      </c>
      <c r="C22" s="46">
        <f>CellSuspension!J22/(CoulterSurvival!F22*Parameters!$B$14)*1000000</f>
        <v>0.7323644017137333</v>
      </c>
      <c r="D22" s="37">
        <f>CoulterSurvival!I44</f>
        <v>5.0657894736842115</v>
      </c>
      <c r="E22" s="37">
        <f>CoulterSurvival!J44</f>
        <v>5.0657894736842115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B13">
      <selection activeCell="D25" sqref="D25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36840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0.9999999999999999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2.963485664673892</v>
      </c>
      <c r="C15" s="46">
        <f>CellSuspension!J15/(CoulterSurvival!F15*Parameters!$B$14)*1000000</f>
        <v>0.18945730194684818</v>
      </c>
      <c r="D15" s="37">
        <f>CoulterSurvival!I37</f>
        <v>0.519736842105263</v>
      </c>
      <c r="E15" s="37">
        <f>CoulterSurvival!J37</f>
        <v>0.5197368421052632</v>
      </c>
    </row>
    <row r="16" spans="1:5" ht="12.75">
      <c r="A16" s="20">
        <v>4</v>
      </c>
      <c r="B16" s="46">
        <f>MediumActivity!J16</f>
        <v>3.6917842425217327</v>
      </c>
      <c r="C16" s="46">
        <f>CellSuspension!J16/(CoulterSurvival!F16*Parameters!$B$14)*1000000</f>
        <v>0.2411993932132258</v>
      </c>
      <c r="D16" s="37">
        <f>CoulterSurvival!I38</f>
        <v>0.5065789473684211</v>
      </c>
      <c r="E16" s="37">
        <f>CoulterSurvival!J38</f>
        <v>0.5065789473684211</v>
      </c>
    </row>
    <row r="17" spans="1:5" ht="12.75">
      <c r="A17" s="20">
        <v>5</v>
      </c>
      <c r="B17" s="46">
        <f>MediumActivity!J17</f>
        <v>6.1277093372092075</v>
      </c>
      <c r="C17" s="46">
        <f>CellSuspension!J17/(CoulterSurvival!F17*Parameters!$B$14)*1000000</f>
        <v>0.3854785799345137</v>
      </c>
      <c r="D17" s="37">
        <f>CoulterSurvival!I39</f>
        <v>0.3486842105263158</v>
      </c>
      <c r="E17" s="37">
        <f>CoulterSurvival!J39</f>
        <v>0.3486842105263158</v>
      </c>
    </row>
    <row r="18" spans="1:5" ht="12.75">
      <c r="A18" s="20">
        <v>6</v>
      </c>
      <c r="B18" s="46">
        <f>MediumActivity!J18</f>
        <v>9.517887928458666</v>
      </c>
      <c r="C18" s="46">
        <f>CellSuspension!J18/(CoulterSurvival!F18*Parameters!$B$14)*1000000</f>
        <v>0.4234085261768914</v>
      </c>
      <c r="D18" s="37">
        <f>CoulterSurvival!I40</f>
        <v>0.5328947368421053</v>
      </c>
      <c r="E18" s="37">
        <f>CoulterSurvival!J40</f>
        <v>0.5328947368421054</v>
      </c>
    </row>
    <row r="19" spans="1:5" ht="12.75">
      <c r="A19" s="20">
        <v>7</v>
      </c>
      <c r="B19" s="46">
        <f>MediumActivity!J19</f>
        <v>10.155576589344216</v>
      </c>
      <c r="C19" s="46">
        <f>CellSuspension!J19/(CoulterSurvival!F19*Parameters!$B$14)*1000000</f>
        <v>0.4312339829551948</v>
      </c>
      <c r="D19" s="37">
        <f>CoulterSurvival!I41</f>
        <v>0.368421052631579</v>
      </c>
      <c r="E19" s="37">
        <f>CoulterSurvival!J41</f>
        <v>0.36842105263157904</v>
      </c>
    </row>
    <row r="20" spans="1:5" ht="12.75">
      <c r="A20" s="20">
        <v>8</v>
      </c>
      <c r="B20" s="46">
        <f>MediumActivity!J20</f>
        <v>13.454575389939796</v>
      </c>
      <c r="C20" s="46">
        <f>CellSuspension!J20/(CoulterSurvival!F20*Parameters!$B$14)*1000000</f>
        <v>0.6296499362411389</v>
      </c>
      <c r="D20" s="37">
        <f>CoulterSurvival!I42</f>
        <v>0.5657894736842106</v>
      </c>
      <c r="E20" s="37">
        <f>CoulterSurvival!J42</f>
        <v>0.5657894736842106</v>
      </c>
    </row>
    <row r="21" spans="1:5" ht="12.75">
      <c r="A21" s="20">
        <v>9</v>
      </c>
      <c r="B21" s="46">
        <f>MediumActivity!J21</f>
        <v>14.524228309048087</v>
      </c>
      <c r="C21" s="46">
        <f>CellSuspension!J21/(CoulterSurvival!F21*Parameters!$B$14)*1000000</f>
        <v>0.495120498948557</v>
      </c>
      <c r="D21" s="37">
        <f>CoulterSurvival!I43</f>
        <v>2.480263157894737</v>
      </c>
      <c r="E21" s="37">
        <f>CoulterSurvival!J43</f>
        <v>2.4802631578947376</v>
      </c>
    </row>
    <row r="22" spans="1:5" ht="12.75">
      <c r="A22" s="20">
        <v>10</v>
      </c>
      <c r="B22" s="46">
        <f>MediumActivity!J22</f>
        <v>24.157373191630167</v>
      </c>
      <c r="C22" s="46">
        <f>CellSuspension!J22/(CoulterSurvival!F22*Parameters!$B$14)*1000000</f>
        <v>0.7323644017137333</v>
      </c>
      <c r="D22" s="37">
        <f>CoulterSurvival!I44</f>
        <v>5.0657894736842115</v>
      </c>
      <c r="E22" s="37">
        <f>CoulterSurvival!J44</f>
        <v>5.0657894736842115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2000-12-22T21:25:13Z</cp:lastPrinted>
  <dcterms:created xsi:type="dcterms:W3CDTF">2000-10-11T19:44:58Z</dcterms:created>
  <dcterms:modified xsi:type="dcterms:W3CDTF">2000-12-22T21:25:35Z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2.0</vt:lpwstr>
  </property>
</Properties>
</file>